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Стационарные торговые объекты" sheetId="1" r:id="rId1"/>
    <sheet name="Нестационарные торговые объекты" sheetId="2" r:id="rId2"/>
    <sheet name="Рынки" sheetId="3" r:id="rId3"/>
    <sheet name="Ярмарки" sheetId="4" r:id="rId4"/>
    <sheet name="Печатная продукция" sheetId="5" r:id="rId5"/>
    <sheet name="РАЗВИТИЕ " sheetId="6" r:id="rId6"/>
    <sheet name="Лист2" sheetId="7" state="hidden" r:id="rId7"/>
    <sheet name="Лист3" sheetId="8" state="hidden" r:id="rId8"/>
  </sheets>
  <definedNames>
    <definedName name="_xlnm.Print_Titles" localSheetId="1">'Нестационарные торговые объекты'!$B:$M,'Нестационарные торговые объекты'!$5:$9</definedName>
    <definedName name="_xlnm.Print_Titles" localSheetId="2">'Рынки'!$A:$J,'Рынки'!$5:$8</definedName>
    <definedName name="_xlnm.Print_Titles" localSheetId="3">'Ярмарки'!$A:$L,'Ярмарки'!$5:$8</definedName>
    <definedName name="_xlnm.Print_Area" localSheetId="7">'Лист3'!$A$1:$V$29</definedName>
    <definedName name="_xlnm.Print_Area" localSheetId="1">'Нестационарные торговые объекты'!$A$1:$X$62</definedName>
    <definedName name="_xlnm.Print_Area" localSheetId="4">'Печатная продукция'!$A$1:$S$31</definedName>
    <definedName name="_xlnm.Print_Area" localSheetId="5">'РАЗВИТИЕ '!$A$1:$Y$42</definedName>
    <definedName name="_xlnm.Print_Area" localSheetId="2">'Рынки'!$A$1:$X$11</definedName>
    <definedName name="_xlnm.Print_Area" localSheetId="0">'Стационарные торговые объекты'!$A$1:$AH$126</definedName>
    <definedName name="_xlnm.Print_Area" localSheetId="3">'Ярмарки'!$A$1:$X$10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(номер телефона, при наличии адрес эл. почты)</t>
        </r>
      </text>
    </comment>
    <comment ref="N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словом "Да", если торговый объект является фирменным магазином региональных товаропроизводителей, если не является оставьте графу пустой</t>
        </r>
      </text>
    </comment>
    <comment ref="J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пример:"продтовары включая крепкий алкоголь", "продтовары без крепкого алкоголя", специализированный мясо-молочный", "специализированный кондитерские изделия", "рыботовары", "алкоголь", "пиво и сопутствующие товары", "продукция мясо-молочной группы Белорусского производства", "бакалея" и т.д.
</t>
        </r>
      </text>
    </comment>
    <comment ref="M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Если торговый объект открыт в текущем году поставьте в ячейке слово "ДА" , если торговый объект был открыт ранее  оставьте ячейку  пустой</t>
        </r>
      </text>
    </comment>
    <comment ref="O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 словом "Да", если обслуживание организовано через прилавок , если нет  оставьте графу пустой</t>
        </r>
      </text>
    </comment>
    <comment ref="P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 словом "Да", если обслуживание самообслуживание, если нет оставьте графу пустой</t>
        </r>
      </text>
    </comment>
    <comment ref="K6" authorId="0">
      <text>
        <r>
          <rPr>
            <b/>
            <sz val="8"/>
            <rFont val="Tahoma"/>
            <family val="2"/>
          </rPr>
          <t xml:space="preserve">Труфанова Екатерина: </t>
        </r>
        <r>
          <rPr>
            <sz val="8"/>
            <rFont val="Tahoma"/>
            <family val="2"/>
          </rPr>
          <t xml:space="preserve">
В случае продажи алкоголя необходимо указать вид алкогольной продукции, при наличии лицензии и продаже крепкого алкоголя и пива в ячейке указать букву  "Л", при отсутствии лицензии и продаже только пива, поставить букву "П". В случае если торговый объект не продает алкоголь, </t>
        </r>
        <r>
          <rPr>
            <b/>
            <sz val="8"/>
            <rFont val="Tahoma"/>
            <family val="2"/>
          </rPr>
          <t>оставить ячейку пустой</t>
        </r>
      </text>
    </comment>
    <comment ref="Z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расположен в жилом доме  в ячейке указать "ЖД", если объект расположен в отдельно стоящем здании указать "ОСЗ", если объект расположен в ином  здании указать "ИЗ"</t>
        </r>
      </text>
    </comment>
    <comment ref="AA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относится к торговой сети в ячейке указать слово
 "ДА", в случае если не относится к торговой сети оставить ячейку пустой
торговая сеть - совокупность двух и более торговых объектов, которые находятся под общим управлением, или совокупность двух и более торговых объектов, которые используются под единым коммерческим обозначением или иным средством индивидуализации
</t>
        </r>
      </text>
    </comment>
    <comment ref="AB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был реконструирован в отчетном периоде в ячейке указать слово
 "ДА", в случае если нет 
 оставить ячейку пустой</t>
        </r>
      </text>
    </comment>
    <comment ref="J11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Для торговых центров и торговых комплексов в соответствующих ячейках необходимо указать кол-во торговых мест в торговом комплексе или соответственно торговом центре</t>
        </r>
      </text>
    </comment>
    <comment ref="J12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Для торговых центров и торговых комплексов в соответствующих ячейках необходимо указать кол-во торговых мест в торговом комплексе или соответственно торговом центре</t>
        </r>
      </text>
    </comment>
    <comment ref="B6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в алфавитном порядке добовлять наименование муниципальных образований (по списку)</t>
        </r>
      </text>
    </comment>
    <comment ref="AC9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 (в тыс.руб)</t>
        </r>
        <r>
          <rPr>
            <sz val="9"/>
            <rFont val="Tahoma"/>
            <family val="0"/>
          </rPr>
          <t xml:space="preserve">
</t>
        </r>
      </text>
    </comment>
    <comment ref="AD9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</t>
        </r>
        <r>
          <rPr>
            <sz val="9"/>
            <rFont val="Tahoma"/>
            <family val="0"/>
          </rPr>
          <t xml:space="preserve">
</t>
        </r>
      </text>
    </comment>
    <comment ref="AE9" authorId="0">
      <text>
        <r>
          <rPr>
            <sz val="10"/>
            <rFont val="Times New Roman"/>
            <family val="1"/>
          </rPr>
          <t>АВТОР:При наличии пандуса укажите - "да". При отсутствии  вариантов оставьте графу незаполненной.</t>
        </r>
        <r>
          <rPr>
            <sz val="9"/>
            <rFont val="Tahoma"/>
            <family val="0"/>
          </rPr>
          <t xml:space="preserve">
</t>
        </r>
      </text>
    </comment>
    <comment ref="AG9" authorId="0">
      <text>
        <r>
          <rPr>
            <b/>
            <sz val="9"/>
            <rFont val="Tahoma"/>
            <family val="0"/>
          </rPr>
          <t>АВТОР:При наличии парковочных мест, предназнапченых для инвалидов, имеющих соответствующую разметку, укажите - "да". При отсутствии   оставьте графу незаполненной.</t>
        </r>
        <r>
          <rPr>
            <sz val="9"/>
            <rFont val="Tahoma"/>
            <family val="0"/>
          </rPr>
          <t xml:space="preserve">
</t>
        </r>
      </text>
    </comment>
    <comment ref="AF9" authorId="0">
      <text>
        <r>
          <rPr>
            <sz val="10"/>
            <rFont val="Times New Roman"/>
            <family val="1"/>
          </rPr>
          <t>АВТОР:При наличии кнопки вызова, укажите - "да". При отсутствии  вариантов оставьте графу незаполненной.</t>
        </r>
      </text>
    </comment>
    <comment ref="AH9" authorId="0">
      <text>
        <r>
          <rPr>
            <b/>
            <sz val="9"/>
            <rFont val="Tahoma"/>
            <family val="0"/>
          </rPr>
          <t>АВТОР:При наличии  - "да". При отсутствии   оставьте графу незаполненной.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b/>
            <sz val="8"/>
            <rFont val="Tahoma"/>
            <family val="2"/>
          </rPr>
          <t xml:space="preserve">Автор:
</t>
        </r>
        <r>
          <rPr>
            <sz val="8"/>
            <rFont val="Tahoma"/>
            <family val="2"/>
          </rPr>
          <t>Организационно-правовая форма, юридический адрес, Ф.И. О. руководителя, номер телефона, при наличии адрес эл. почты)</t>
        </r>
      </text>
    </comment>
    <comment ref="I5" authorId="0">
      <text>
        <r>
          <rPr>
            <b/>
            <sz val="8"/>
            <rFont val="Tahoma"/>
            <family val="2"/>
          </rPr>
          <t>Автор:
Если торговый объект открыт в текущем году поставьте в ячейке слово "ДА" , если торговый объект был открыт ранее  оставьте ячейку  пустой</t>
        </r>
      </text>
    </comment>
    <comment ref="J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любой буквой, например словом "Да" или "V", если является, если не является оставьте графу пустой</t>
        </r>
      </text>
    </comment>
    <comment ref="F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Организационно-правовая форма, юридический адрес, Ф.И. О. руководителя, номер телефона, при наличии адрес эл. почты)</t>
        </r>
      </text>
    </comment>
    <comment ref="O6" authorId="0">
      <text>
        <r>
          <rPr>
            <b/>
            <sz val="8"/>
            <rFont val="Tahoma"/>
            <family val="2"/>
          </rPr>
          <t>Автор: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imes New Roman"/>
            <family val="1"/>
          </rPr>
          <t>В случае наличия свидетельства о государственной регистрации права поставить слова "Да" в ячейку, в случае отсутствия оставить ячейку пустой</t>
        </r>
      </text>
    </comment>
    <comment ref="P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наличия договора аренды муниципальной собственности  поставить слова "Да" в ячейку, в случае отсутствия оставить ячейку пустой</t>
        </r>
      </text>
    </comment>
    <comment ref="Q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наличия договора аренды государственной собственности поставить слова "Да" в ячейку, в случае отсутствия оставить ячейку пустой</t>
        </r>
      </text>
    </comment>
    <comment ref="R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наличия договора аренды муниципальной собственности на основании схемы размещения нестационарных объектов  поставить слова "Да" в ячейку, в случае отсутствия оставить ячейку пустой</t>
        </r>
      </text>
    </comment>
    <comment ref="S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наличия договора аренды государственной собственности на основании схемы размещения нестационарных объектов  поставить слова "Да" в ячейку, в случае отсутствия оставить ячейку пустой</t>
        </r>
      </text>
    </comment>
    <comment ref="B5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в алфавитном порядке добовлять наименование муниципальных образований (по списку)</t>
        </r>
      </text>
    </comment>
    <comment ref="T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 (в тыс.руб)</t>
        </r>
        <r>
          <rPr>
            <sz val="9"/>
            <rFont val="Tahoma"/>
            <family val="0"/>
          </rPr>
          <t xml:space="preserve">
</t>
        </r>
      </text>
    </comment>
    <comment ref="U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</t>
        </r>
        <r>
          <rPr>
            <sz val="9"/>
            <rFont val="Tahoma"/>
            <family val="0"/>
          </rPr>
          <t xml:space="preserve">
</t>
        </r>
      </text>
    </comment>
    <comment ref="V8" authorId="0">
      <text>
        <r>
          <rPr>
            <sz val="10"/>
            <rFont val="Times New Roman"/>
            <family val="1"/>
          </rPr>
          <t>АВТОР:При наличии пандуса укажите - "да". При отсутствии  вариантов оставьте графу незаполненной.</t>
        </r>
        <r>
          <rPr>
            <sz val="9"/>
            <rFont val="Tahoma"/>
            <family val="0"/>
          </rPr>
          <t xml:space="preserve">
</t>
        </r>
      </text>
    </comment>
    <comment ref="W8" authorId="0">
      <text>
        <r>
          <rPr>
            <sz val="10"/>
            <rFont val="Times New Roman"/>
            <family val="1"/>
          </rPr>
          <t>АВТОР:При наличии кнопки вызова, укажите - "да". При отсутствии  вариантов оставьте графу незаполненной.</t>
        </r>
      </text>
    </comment>
    <comment ref="X8" authorId="0">
      <text>
        <r>
          <rPr>
            <b/>
            <sz val="9"/>
            <rFont val="Tahoma"/>
            <family val="0"/>
          </rPr>
          <t>АВТОР:При наличии парковочных мест, предназнапченых для инвалидов, имеющих соответствующую разметку, укажите - "да". При отсутствии   оставьте графу незаполненной.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S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МТБ - материально техническая база (ремонт, модернизация, реконструкция, строительство, и т.д.)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T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МТБ - материально техническая база (ремонт, модернизация, реконструкция, строительство, и т.д.)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D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(номер телефона, при наличии адрес эл. почты)</t>
        </r>
      </text>
    </comment>
    <comment ref="J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Если торговый объект открыт в текущем году поставьте в ячейке слово "ДА" , если торговый объект был открыт ранее  оставьте ячейку  пустой</t>
        </r>
      </text>
    </comment>
    <comment ref="O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расположен в жилом доме  в ячейке указать "ЖД", если объект расположен в отдельно стоящем здании указать "ОСЗ", если объект расположен в ином  здании указать "ИЗ"</t>
        </r>
      </text>
    </comment>
    <comment ref="P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относится к торговой сети в ячейке указать слово
 "ДА", в случае если не относится к торговой сети оставить ячейку пустой
торговая сеть - совокупность двух и более торговых объектов, которые находятся под общим управлением, или совокупность двух и более торговых объектов, которые используются под единым коммерческим обозначением или иным средством индивидуализации
</t>
        </r>
      </text>
    </comment>
    <comment ref="Q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был реконструирован в отчетном периоде в ячейке указать слово
 "ДА", в случае если нет 
 оставить ячейку пустой</t>
        </r>
      </text>
    </comment>
    <comment ref="K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 словом "Да", если точка продажи печатной продукции(в том числе журнально-газетной) расположена на территории торговых объектов (за исключением почтовых отделений)</t>
        </r>
      </text>
    </comment>
    <comment ref="L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 словом "Да", если обслуживание самообслуживание, если нет оставьте графу пустой</t>
        </r>
      </text>
    </comment>
    <comment ref="R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 (в тыс.руб)</t>
        </r>
        <r>
          <rPr>
            <sz val="9"/>
            <rFont val="Tahoma"/>
            <family val="0"/>
          </rPr>
          <t xml:space="preserve">
</t>
        </r>
      </text>
    </comment>
    <comment ref="S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</t>
        </r>
        <r>
          <rPr>
            <sz val="9"/>
            <rFont val="Tahoma"/>
            <family val="0"/>
          </rPr>
          <t xml:space="preserve">
</t>
        </r>
      </text>
    </comment>
    <comment ref="T8" authorId="0">
      <text>
        <r>
          <rPr>
            <sz val="10"/>
            <rFont val="Times New Roman"/>
            <family val="1"/>
          </rPr>
          <t>АВТОР:При наличии пандуса укажите - "да". При отсутствии  вариантов оставьте графу незаполненной.</t>
        </r>
        <r>
          <rPr>
            <sz val="9"/>
            <rFont val="Tahoma"/>
            <family val="0"/>
          </rPr>
          <t xml:space="preserve">
</t>
        </r>
      </text>
    </comment>
    <comment ref="U8" authorId="0">
      <text>
        <r>
          <rPr>
            <sz val="10"/>
            <rFont val="Times New Roman"/>
            <family val="1"/>
          </rPr>
          <t>АВТОР:При наличии кнопки вызова, укажите - "да". При отсутствии  вариантов оставьте графу незаполненной.</t>
        </r>
      </text>
    </comment>
    <comment ref="V8" authorId="0">
      <text>
        <r>
          <rPr>
            <b/>
            <sz val="9"/>
            <rFont val="Tahoma"/>
            <family val="0"/>
          </rPr>
          <t>АВТОР:При наличии парковочных мест, предназнапченых для инвалидов, имеющих соответствующую разметку, укажите - "да". При отсутствии   оставьте графу незаполненной.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<sst xmlns="http://schemas.openxmlformats.org/spreadsheetml/2006/main" count="2382" uniqueCount="927">
  <si>
    <t xml:space="preserve">Приложение 1 </t>
  </si>
  <si>
    <t>№ п/п</t>
  </si>
  <si>
    <t>Режим работы</t>
  </si>
  <si>
    <t>Форма обслуживания</t>
  </si>
  <si>
    <t>Площадь</t>
  </si>
  <si>
    <t>Общая, кв.м</t>
  </si>
  <si>
    <t>Торговая, кв.м</t>
  </si>
  <si>
    <t>всего</t>
  </si>
  <si>
    <t>в том числе</t>
  </si>
  <si>
    <t>продавцов</t>
  </si>
  <si>
    <t>через прилавок</t>
  </si>
  <si>
    <t>самообслуживание</t>
  </si>
  <si>
    <t>I</t>
  </si>
  <si>
    <t>Продовольственные магазины</t>
  </si>
  <si>
    <t>II</t>
  </si>
  <si>
    <t>Непродовольственные магазины</t>
  </si>
  <si>
    <t>III</t>
  </si>
  <si>
    <t>Магазины со смешанным ассортиментом товаров</t>
  </si>
  <si>
    <t>IV</t>
  </si>
  <si>
    <t>Торговые центры</t>
  </si>
  <si>
    <t>Информация о дислокации стационарных торговых объектов, расположенных на территории</t>
  </si>
  <si>
    <t>V</t>
  </si>
  <si>
    <t>Торговые комплексы</t>
  </si>
  <si>
    <t>ВСЕГО</t>
  </si>
  <si>
    <t xml:space="preserve">общее количество </t>
  </si>
  <si>
    <t>ИТОГО продовольственные магазины</t>
  </si>
  <si>
    <t xml:space="preserve">ИТОГО непродовольственные магазины </t>
  </si>
  <si>
    <t>общее количество</t>
  </si>
  <si>
    <t>ИТОГО торговые центры</t>
  </si>
  <si>
    <t>ИТОГО торговые комплексы</t>
  </si>
  <si>
    <t>г. Орла</t>
  </si>
  <si>
    <t>г. Ливны</t>
  </si>
  <si>
    <t>г. Мценск</t>
  </si>
  <si>
    <t>Глазуновский район</t>
  </si>
  <si>
    <t>Дмитровский район</t>
  </si>
  <si>
    <t>Должанский район</t>
  </si>
  <si>
    <t>Залегощенский район</t>
  </si>
  <si>
    <t>Знаменский район</t>
  </si>
  <si>
    <t>Колпнянский район</t>
  </si>
  <si>
    <t>Корсаковский район</t>
  </si>
  <si>
    <t>Краснозоренский район</t>
  </si>
  <si>
    <t>Кромской район</t>
  </si>
  <si>
    <t>Ливенский район</t>
  </si>
  <si>
    <t>Малоархангельский район</t>
  </si>
  <si>
    <t>Мценский район</t>
  </si>
  <si>
    <t>Новодеревеньковский район</t>
  </si>
  <si>
    <t>Новосильский район</t>
  </si>
  <si>
    <t>Орловский  район</t>
  </si>
  <si>
    <t>Покровский район</t>
  </si>
  <si>
    <t>Свердловский район</t>
  </si>
  <si>
    <t>Сосковский район</t>
  </si>
  <si>
    <t>Троснянский район</t>
  </si>
  <si>
    <t>Урицкий район</t>
  </si>
  <si>
    <t>Хотынецкий район</t>
  </si>
  <si>
    <t>Шаблыкинский район</t>
  </si>
  <si>
    <t>Болховского района</t>
  </si>
  <si>
    <t>Верховского района</t>
  </si>
  <si>
    <t>итого</t>
  </si>
  <si>
    <t>фирменных магазинов региональных товаропроизводителей</t>
  </si>
  <si>
    <t>всего работающих</t>
  </si>
  <si>
    <t>всего продавцов</t>
  </si>
  <si>
    <t>общая площадь всего</t>
  </si>
  <si>
    <t>общая площадь прод</t>
  </si>
  <si>
    <t>общая площадь непрод</t>
  </si>
  <si>
    <t>торговая всего</t>
  </si>
  <si>
    <t>торговая прод</t>
  </si>
  <si>
    <t>торговая непрод</t>
  </si>
  <si>
    <t>ИТОГО непродовольственные магазины</t>
  </si>
  <si>
    <t>ИТОГО магазины со смешанным ассортиментом</t>
  </si>
  <si>
    <t>Наименование торгового  объекта</t>
  </si>
  <si>
    <t>Наименование юридического (физического) лица, хозяйствующего субъекта</t>
  </si>
  <si>
    <t>Ассортимент</t>
  </si>
  <si>
    <t>Юридический и почтовый адрес хозяйст. cубъекта</t>
  </si>
  <si>
    <t>прод. товар.</t>
  </si>
  <si>
    <t>непрод. товар.</t>
  </si>
  <si>
    <t>Торговых объектов открытых в текущем году</t>
  </si>
  <si>
    <t>Режим налогообложения</t>
  </si>
  <si>
    <t>Уточнение по расположению торгового объекта</t>
  </si>
  <si>
    <t>Относится ли торговый объект к торговой сети</t>
  </si>
  <si>
    <t>торговый объект открыт в отчетном периоде</t>
  </si>
  <si>
    <t>количество торговых мест</t>
  </si>
  <si>
    <t>Адрес расположения объекта</t>
  </si>
  <si>
    <t xml:space="preserve"> объект открыт в текущем году</t>
  </si>
  <si>
    <t>частная собственность</t>
  </si>
  <si>
    <t>договор аренды</t>
  </si>
  <si>
    <t>Вид нестационарного торгового объекта (киоск, павильон)</t>
  </si>
  <si>
    <t>на основе схемы размещения нестационарных торговых объектов</t>
  </si>
  <si>
    <t>муниципальная собственность</t>
  </si>
  <si>
    <t>государственная собственность</t>
  </si>
  <si>
    <t>Киоски продовольственные</t>
  </si>
  <si>
    <t>Киоски непродовольственные</t>
  </si>
  <si>
    <t>Киоски смешанные</t>
  </si>
  <si>
    <t>ИТОГО КИОСКИ</t>
  </si>
  <si>
    <t>Павильоны продовольственные</t>
  </si>
  <si>
    <t>Павильоны непродовольственные</t>
  </si>
  <si>
    <t>Павильоны со смешанным ассортиментом товаров</t>
  </si>
  <si>
    <t xml:space="preserve">Киоски со смешанным ассортиментом </t>
  </si>
  <si>
    <t>ИТОГО ПАВИЛЬОНЫ</t>
  </si>
  <si>
    <t>Итого киоски продовольственные</t>
  </si>
  <si>
    <t>Итого киоски непродовольственные</t>
  </si>
  <si>
    <t>Итого киоски со смешенным ассортиментом</t>
  </si>
  <si>
    <t>Итого павильоны продовольственные</t>
  </si>
  <si>
    <t>Итого павильоны непродовольственные</t>
  </si>
  <si>
    <t>Итого павильоны со смешанным ассортиментом</t>
  </si>
  <si>
    <t>ИТОГО</t>
  </si>
  <si>
    <t xml:space="preserve">общая площадь торговая </t>
  </si>
  <si>
    <t>Фирменных магазинов региональных товаропроизводителей</t>
  </si>
  <si>
    <t>Наименование и тип рынка</t>
  </si>
  <si>
    <t xml:space="preserve">Место расположения </t>
  </si>
  <si>
    <t xml:space="preserve">ФИО, телефон руководителя управляющей компании </t>
  </si>
  <si>
    <t>Численность сотрудников</t>
  </si>
  <si>
    <t>в т.ч. торговая, кв.м</t>
  </si>
  <si>
    <t>в здании</t>
  </si>
  <si>
    <t>продовольственных</t>
  </si>
  <si>
    <t>непродовольственных</t>
  </si>
  <si>
    <t>для продажи товаров:</t>
  </si>
  <si>
    <t>свободных</t>
  </si>
  <si>
    <t>уплачено налогов</t>
  </si>
  <si>
    <t>вложено средств                          в развитие МТБ рынка</t>
  </si>
  <si>
    <t xml:space="preserve">  Вид     
ярмарки   
по характеру
деятельности</t>
  </si>
  <si>
    <t xml:space="preserve">Срок   
(период) 
проведения
ярмарки  
</t>
  </si>
  <si>
    <t xml:space="preserve"> Место   
проведения
ярмарки  
  </t>
  </si>
  <si>
    <t xml:space="preserve">Специализация
ярмарки   
по классам  
товаров    
</t>
  </si>
  <si>
    <t xml:space="preserve">Администратор
ярмарки, 
ФИО и телефон руководителя  </t>
  </si>
  <si>
    <t>Система ЕГАИС установлена</t>
  </si>
  <si>
    <t>обязанность установки ЕГАИС</t>
  </si>
  <si>
    <t>Егаис установлено</t>
  </si>
  <si>
    <t>Обязанность по установке и использованию системы ЕГАИС</t>
  </si>
  <si>
    <t xml:space="preserve">Информация о развитии торговой сети </t>
  </si>
  <si>
    <t>1. Количество стационарных торговых объектов</t>
  </si>
  <si>
    <t>продовольственные</t>
  </si>
  <si>
    <t xml:space="preserve">непродовольственные </t>
  </si>
  <si>
    <t>смешанного ассортимента</t>
  </si>
  <si>
    <t>торговые центры</t>
  </si>
  <si>
    <t>торговые комплексы</t>
  </si>
  <si>
    <t>2. Закрыто стационарных торговых объектов в отчетном периоде</t>
  </si>
  <si>
    <t>показатель</t>
  </si>
  <si>
    <t>в т.ч. продавцов</t>
  </si>
  <si>
    <t>Общая</t>
  </si>
  <si>
    <t>Торговая</t>
  </si>
  <si>
    <t>в т.ч.</t>
  </si>
  <si>
    <t>Открытых в отчетном периоде</t>
  </si>
  <si>
    <t xml:space="preserve">Ед. </t>
  </si>
  <si>
    <t>Фирменные магазины региональных товаропроизводителей</t>
  </si>
  <si>
    <t>Магазины самообслуживания</t>
  </si>
  <si>
    <t xml:space="preserve">Численность работающих, всего </t>
  </si>
  <si>
    <t>Создано новых рабочих мест</t>
  </si>
  <si>
    <t>Объектов, относящихся к торговой сети</t>
  </si>
  <si>
    <t>Объектов, расположенных в жилом здании</t>
  </si>
  <si>
    <t>Объектов, расположенных в отдельно стоящем здании</t>
  </si>
  <si>
    <t>Объектов, расположенных в ином здании</t>
  </si>
  <si>
    <t>создано новых рабочих мест</t>
  </si>
  <si>
    <t>имеют лицензии</t>
  </si>
  <si>
    <t>Количество магазинов, имеющих лицензии на розничную продажу алкоголя</t>
  </si>
  <si>
    <t>Фирменные объекты региональных товаропроизводителей</t>
  </si>
  <si>
    <t>ИТОГО павильоны</t>
  </si>
  <si>
    <t>киоски непродовольственные</t>
  </si>
  <si>
    <t>павильоны продовольственные</t>
  </si>
  <si>
    <t>павильоны непродовольственные</t>
  </si>
  <si>
    <t xml:space="preserve"> павильоны со смешанным ассортиментом</t>
  </si>
  <si>
    <t>киоски</t>
  </si>
  <si>
    <t>павильоны</t>
  </si>
  <si>
    <t>киоски продовольственные</t>
  </si>
  <si>
    <t>киоски со смешенным ассортиментом</t>
  </si>
  <si>
    <t>ИТОГО киоски</t>
  </si>
  <si>
    <t>4. Закрыто нестационарных торговых объектов в отчетном периоде</t>
  </si>
  <si>
    <t>Проводилась ли реконструкция торгового объекта в отчетном периоде</t>
  </si>
  <si>
    <t xml:space="preserve">Контактные данные, телефон, факс, е-mail </t>
  </si>
  <si>
    <t xml:space="preserve">Ф.И.О.  руководителя объекта телефон, факс, е-mail </t>
  </si>
  <si>
    <t>является ли торговый объект фирменным магазином региональных товаропроизводителей</t>
  </si>
  <si>
    <t xml:space="preserve">Ф.И.О.  руководителя хоз. субъекта телефон, факс, е-mail </t>
  </si>
  <si>
    <t xml:space="preserve">Наименование
ярмарки  
</t>
  </si>
  <si>
    <t>торговых мест в ТЦ и ТК</t>
  </si>
  <si>
    <t>мест в тк и тц</t>
  </si>
  <si>
    <t xml:space="preserve">Организатор
ярмарки,
ФИО и телефон руководителя   </t>
  </si>
  <si>
    <t>ФИО и телефон директора рынка</t>
  </si>
  <si>
    <t>в т.ч. принадлежащие хозяйствующим субъектам, осуществляющим торговую деятельность посредством организации торговой сети</t>
  </si>
  <si>
    <t>Численность работающих человек</t>
  </si>
  <si>
    <t>Данные юридического или физического лица, использующего объект</t>
  </si>
  <si>
    <t>Данные юридического или физического лица, являющегося собственником объекта</t>
  </si>
  <si>
    <t>является ли объект фирменным объектом региональных товаропроизводителей</t>
  </si>
  <si>
    <t>Режим налогообложения, лица, использующего объект</t>
  </si>
  <si>
    <t>Основания возникновения прав на земельный участок, на котором размещается нестационарный торговый объект</t>
  </si>
  <si>
    <t xml:space="preserve">Режим налогообложения, </t>
  </si>
  <si>
    <t>Количество торговых мест, единиц</t>
  </si>
  <si>
    <t>Финансы, тыс. руб.</t>
  </si>
  <si>
    <t>занимаемых региональными товаропроизводителями</t>
  </si>
  <si>
    <t xml:space="preserve">Управляющая рынком компания
</t>
  </si>
  <si>
    <t>Реконструировано</t>
  </si>
  <si>
    <t>3. Количество нестационарных торговых объектов (киоски, павильоны)</t>
  </si>
  <si>
    <t>Наименование муниципальных образований</t>
  </si>
  <si>
    <t xml:space="preserve">Тип предприятия </t>
  </si>
  <si>
    <t>5.Колличество павильонов и ларьков по продаже печатной продукции</t>
  </si>
  <si>
    <t>5. Закрыто павильонов и ларьков по продаже печатной продукции</t>
  </si>
  <si>
    <t>киоск</t>
  </si>
  <si>
    <t xml:space="preserve">точка продажи </t>
  </si>
  <si>
    <t>точки продаж</t>
  </si>
  <si>
    <t>Проводилась ли реконстркция или модернизация торгового объекта в отчетном периоде</t>
  </si>
  <si>
    <t>Проводилась ли реконструкция или модернизация торгового объекта в отчетном периоде</t>
  </si>
  <si>
    <t>Инвестиции в отчетном периоде</t>
  </si>
  <si>
    <t>Вложено средств в развитие МТБ в имеющиеся объекты торговли</t>
  </si>
  <si>
    <t>Вложено средств в развитие МТБ во вновь открывшиеся в отчетном периоде объекты торговли</t>
  </si>
  <si>
    <t>наличие пандуса</t>
  </si>
  <si>
    <t>оборудован тактильными средствами информации предназначенными для лиц с дифектами зрения и частично слуха</t>
  </si>
  <si>
    <t>наличие кнопки вызова</t>
  </si>
  <si>
    <t>наличие парковочных мест для инвалидов</t>
  </si>
  <si>
    <t xml:space="preserve"> наименование муниципального образования</t>
  </si>
  <si>
    <t>Информация о дислокации нестационарных торговых объектов (киосков, павильонов), расположенных на территории райора</t>
  </si>
  <si>
    <t>Информация о дислокации торговых объектов реализующих печатную продукцию СМИ, расположенных на территории района</t>
  </si>
  <si>
    <t>Показатели обеспечения доступности объектов для инвалидов и маломобильных групп населения</t>
  </si>
  <si>
    <t xml:space="preserve">наличие специализированных парковочных мест </t>
  </si>
  <si>
    <t>Информация о дислокации рынков, расположенных на территории райора</t>
  </si>
  <si>
    <t>Вид продаваемой алкогольной продукции</t>
  </si>
  <si>
    <t>наличие сотрудников для маломобильных групп населения в том числе для инвалидов с нарушением зрения, слуха и умственного развития</t>
  </si>
  <si>
    <t>по состоянию на 30 декабря 2020 г.</t>
  </si>
  <si>
    <t xml:space="preserve">                                                                             по состоянию на 30 декабря 2020 г.</t>
  </si>
  <si>
    <t xml:space="preserve">                                                                             по состоянию на 30 июня 2020 г.</t>
  </si>
  <si>
    <t xml:space="preserve">                                                                                                                           по состоянию на 30 декабря 2020 г.</t>
  </si>
  <si>
    <t>п. Кромы</t>
  </si>
  <si>
    <t>Магазин "Горячий хлеб"</t>
  </si>
  <si>
    <t>п. Кромы, ул. Советская, д. 5</t>
  </si>
  <si>
    <t xml:space="preserve">kromy.raypo@yandex.ru </t>
  </si>
  <si>
    <t>Кромское РАЙПО</t>
  </si>
  <si>
    <t>Орловская обл., п. Кромы, пл. Освобождения, д. 1</t>
  </si>
  <si>
    <t>Павлова Н.М., 84864320148</t>
  </si>
  <si>
    <t>Бирюкова Ж.А., 84864320104</t>
  </si>
  <si>
    <t>продтовары, включая крепкий алкоголь</t>
  </si>
  <si>
    <t>Л</t>
  </si>
  <si>
    <t>ежедневно с 8-00 до 20-00</t>
  </si>
  <si>
    <t>да</t>
  </si>
  <si>
    <t>ЕНВД</t>
  </si>
  <si>
    <t>ИЗ</t>
  </si>
  <si>
    <t>ДА</t>
  </si>
  <si>
    <t>Магазин "Все к столу"</t>
  </si>
  <si>
    <t>п. Кромы, пер. Куренцова, д. 4а</t>
  </si>
  <si>
    <t>4864320857</t>
  </si>
  <si>
    <t>ИП Егорцева И.С., ООО "Реал-Продукт"</t>
  </si>
  <si>
    <t>302030, г. Орел, ул. Н. Дубровинского, д. 58, кв. 52</t>
  </si>
  <si>
    <t>Егорцева И.С., 84864321703</t>
  </si>
  <si>
    <t>Козлова О.В., 84864320857</t>
  </si>
  <si>
    <t>ежедневно с 8-30 до 20-00</t>
  </si>
  <si>
    <t>ОСЗ</t>
  </si>
  <si>
    <t>Магазин "Молочные продукты"</t>
  </si>
  <si>
    <t>п. Кромы, пер. Вожовский</t>
  </si>
  <si>
    <t>kromy_moloko@mail.ru</t>
  </si>
  <si>
    <t>ООО "Торговый дом"</t>
  </si>
  <si>
    <t>301510, Тульская обл., Арсеньевский р-н, рабочий поселок Арсеньево, ул. Папанина, д. 4, пом. 53; г. Орел, ул. Полесская, д. 10</t>
  </si>
  <si>
    <t>Давыдов В.В. kromy_moloko@mail.ru</t>
  </si>
  <si>
    <t>Давыдов Вл. Вл. 84864321707</t>
  </si>
  <si>
    <t>специализированный молочные продукты</t>
  </si>
  <si>
    <t>ежедневно с 9-00 до 15-00</t>
  </si>
  <si>
    <t>Шаховское с.п.</t>
  </si>
  <si>
    <t>Магазин "Смак"</t>
  </si>
  <si>
    <t>Кромской район, с. Шахово</t>
  </si>
  <si>
    <t>9208106710</t>
  </si>
  <si>
    <t>ИП Соломина А.П., ООО "СОМАН"</t>
  </si>
  <si>
    <t>Орловская область, Кромской район, с. Шахово</t>
  </si>
  <si>
    <t>Соломина А.П. 9208106710</t>
  </si>
  <si>
    <t>Ежедневно с 8-00 до 20-00</t>
  </si>
  <si>
    <t>Кутафинское с.п.</t>
  </si>
  <si>
    <t>Магазин "Продукты"</t>
  </si>
  <si>
    <t>Кромской район, с. Кутафино, д. 10а</t>
  </si>
  <si>
    <t>ИП Бакин В.В., ООО Волна</t>
  </si>
  <si>
    <t>302010, г. Орел, пер. Маслозаводской, д. 10</t>
  </si>
  <si>
    <t>Бакин В.В., 9066637750, volna.orel@yandex.ru</t>
  </si>
  <si>
    <t>Ежедневно с 9-00 до 20-00</t>
  </si>
  <si>
    <t>Магазин "Татьяна"</t>
  </si>
  <si>
    <t>п. Кромы, пер. Сидельникова, д. 22 г</t>
  </si>
  <si>
    <t>84864320902</t>
  </si>
  <si>
    <t>ИП Лежепеков Г.В., ООО "Тандем"</t>
  </si>
  <si>
    <t>303200, Орловская обл., п. Кромы, д. Черкасская, д. 354 а</t>
  </si>
  <si>
    <t>Лежепеков Г.В., 9103003694, hostorg_kromy@mail.ru</t>
  </si>
  <si>
    <t>ежедневно с 9-00 до 20-00</t>
  </si>
  <si>
    <t>п. Кромы, ул. К. Маркса, д. 1</t>
  </si>
  <si>
    <t>ИП Борисенко А.Г.</t>
  </si>
  <si>
    <t>Орловская обл, п. Кромы, ул. Лескова, д. 5, кв. 2</t>
  </si>
  <si>
    <t>Борисенко А.Г., 9208121312</t>
  </si>
  <si>
    <t>продтовары без крепкого алкоголя</t>
  </si>
  <si>
    <t>П</t>
  </si>
  <si>
    <t>ежедневно с 8-00 до 22-00</t>
  </si>
  <si>
    <t>Гуторовское с.п.</t>
  </si>
  <si>
    <t>Кромской район, д. Арбузово, д. 25 "Б"</t>
  </si>
  <si>
    <t>ИП Ермакова Л.Н.</t>
  </si>
  <si>
    <t>Орловская обл., Кромской р-н, с. Вожово, д. 26</t>
  </si>
  <si>
    <t>Ермакова Л.Н., 9102674523</t>
  </si>
  <si>
    <t>продтовары, без крепкого алкоголя</t>
  </si>
  <si>
    <t>ежедневно с 9-00 до 20-00, перерыв с 14-00 до 15-00</t>
  </si>
  <si>
    <t>Магазин "Ладушка"</t>
  </si>
  <si>
    <t>п. Кромы, ул. К. Маркса, д. 35</t>
  </si>
  <si>
    <t>ООО "Ладушка"</t>
  </si>
  <si>
    <t>Орловская обл., п. Кромы, ул. К. Маркса, д. 35</t>
  </si>
  <si>
    <t>Золотарев Ю.А., 9208053140, oooladushka@yandex.ru</t>
  </si>
  <si>
    <t>ежедневно с 9-00 до 23-00</t>
  </si>
  <si>
    <t>Магазин "Пиво"</t>
  </si>
  <si>
    <t>9103029033</t>
  </si>
  <si>
    <t>ИП Сычев Ю.В.</t>
  </si>
  <si>
    <t>Сычев Ю.В., 9103029033</t>
  </si>
  <si>
    <t>.продтовары без крепкого алкоголя</t>
  </si>
  <si>
    <t>ежедневно с 9-00 до 22-00</t>
  </si>
  <si>
    <t>Магазин "Живое пиво"</t>
  </si>
  <si>
    <t>п. Кромы, ул. 25 Октября, д. 10</t>
  </si>
  <si>
    <t>9192720002</t>
  </si>
  <si>
    <t>ИП Мемедляева О.И.</t>
  </si>
  <si>
    <t>г. Курск, пр. В. Клыкова, д. 92, кв. 40</t>
  </si>
  <si>
    <t>Мемедляева О.И., 9192720002</t>
  </si>
  <si>
    <t>пн.-ср. с 11-00 до 22-00, чт.-вс. с 10-00 до 23-00</t>
  </si>
  <si>
    <t>Пивная "Дионис"</t>
  </si>
  <si>
    <t xml:space="preserve">п. Кромы, ул. 25 Октября, д. 49 </t>
  </si>
  <si>
    <t>ИП Мартынов В.В.</t>
  </si>
  <si>
    <t>г. Орел, ул. Алроса, д. 295, кв. 4</t>
  </si>
  <si>
    <t>Мартынова В.В., 89192059140</t>
  </si>
  <si>
    <t>ежедневно с 10-00 до 23-00</t>
  </si>
  <si>
    <t>Магазин "Счастье есть"</t>
  </si>
  <si>
    <t>п. Кромы, ул. К. Маркса, д. 43</t>
  </si>
  <si>
    <t>9102032676</t>
  </si>
  <si>
    <t>ИП Злобина Л.Н.</t>
  </si>
  <si>
    <t>Орловская обл., п. Кромы, пер. Ленинский, д. 38</t>
  </si>
  <si>
    <t>Злобина Л.Н.</t>
  </si>
  <si>
    <t>ежедневно с 9-00 до 18-00</t>
  </si>
  <si>
    <t>Магазин "Светлое Темное"</t>
  </si>
  <si>
    <t>п. Кромы, ул. К. Маркса, д. 33</t>
  </si>
  <si>
    <t>ИП Масалов А.В.</t>
  </si>
  <si>
    <t>Орловская обл., Кромской район, д. Черкасская, д. 38, кв. 2</t>
  </si>
  <si>
    <t>Масалов А.В. 9066656666</t>
  </si>
  <si>
    <t>Магазин "ЭлиТпак"</t>
  </si>
  <si>
    <t>ИП Харламов М.В.</t>
  </si>
  <si>
    <t>Харламов М.В.</t>
  </si>
  <si>
    <t>вторник-пятница с 9-00 до 16-50, суббота-воскресенье с 9-00 до 14-00 Выходной-Понедельник</t>
  </si>
  <si>
    <t>Магазин "Дары моря"</t>
  </si>
  <si>
    <t>п. Кромы, ул. К. Маркса, д. 71</t>
  </si>
  <si>
    <t>ИП Коняшин К.П.</t>
  </si>
  <si>
    <t>г. Орел, ул. Горького, д. 122а</t>
  </si>
  <si>
    <t>Коняшин Константин Петрович</t>
  </si>
  <si>
    <t>Коняшин К.П. 9107488808</t>
  </si>
  <si>
    <t>продтовары без алкоголя</t>
  </si>
  <si>
    <t>с 9 до 18, воскресенье с 9-00 до 17-00</t>
  </si>
  <si>
    <t>осз</t>
  </si>
  <si>
    <t>п. Кромы, ул. 25 Октября, д. 8</t>
  </si>
  <si>
    <t>п. Кромы, ул. К. Маркса, д. 9</t>
  </si>
  <si>
    <t>ИП Мартынова С.И.</t>
  </si>
  <si>
    <t>Орловская обл., п. Кромы</t>
  </si>
  <si>
    <t>Пода Е.В., 9102654309 (арендодатель)</t>
  </si>
  <si>
    <t>ИП Мартынов В.В. 89192059140</t>
  </si>
  <si>
    <t>ЖД</t>
  </si>
  <si>
    <t>Магазин "Автозапчасти"</t>
  </si>
  <si>
    <t>п. Кромы, ул. 25 Октября, 39</t>
  </si>
  <si>
    <t>Масалов А.В., 9066656666</t>
  </si>
  <si>
    <t>Щелоков Александр Сергеевич</t>
  </si>
  <si>
    <t>группа непродовольственных товаров</t>
  </si>
  <si>
    <t>ежедневно с 9-00 до 17-00</t>
  </si>
  <si>
    <t>Магазин "Строитель"</t>
  </si>
  <si>
    <t>п. Кромы, ул. Свободы, д. 57</t>
  </si>
  <si>
    <t>ИП Смагин М.А., sma07111988@yandex.ru</t>
  </si>
  <si>
    <t>Смагин М.А.</t>
  </si>
  <si>
    <t>строительные товары</t>
  </si>
  <si>
    <t>ежедневно с 9-00 до 17-00, перерыв с 13-00 до 14-00, суббота, воскресенье без перерыва с 9-00 до 15-00</t>
  </si>
  <si>
    <t>Магазин "Оптимист"</t>
  </si>
  <si>
    <t>п. Кромы, ул. 25 Октября, д. 12</t>
  </si>
  <si>
    <t>9066626262</t>
  </si>
  <si>
    <t>ИП Беляев Вадим Юрьевич</t>
  </si>
  <si>
    <t>аренда у Московцевой</t>
  </si>
  <si>
    <t>ИП Беляев Вадим Юрьевич, 89065715445</t>
  </si>
  <si>
    <t>Канцелярские товары</t>
  </si>
  <si>
    <t>Магазин "Окна"</t>
  </si>
  <si>
    <t>9102068145</t>
  </si>
  <si>
    <t>ИП Чалоян С. Э.</t>
  </si>
  <si>
    <t>Чалоян С.Э., 9102068145</t>
  </si>
  <si>
    <t>автозапчасти</t>
  </si>
  <si>
    <t xml:space="preserve">ежедневно с 9-00 до 17-00 </t>
  </si>
  <si>
    <t>Магазин "Семена"</t>
  </si>
  <si>
    <t>п. Кромы, Базарная площадь</t>
  </si>
  <si>
    <t>ОАО "Орелсортсемовощ"</t>
  </si>
  <si>
    <t>302040, г. Орел, ул. Андрианова, д. 8</t>
  </si>
  <si>
    <t>Авдеева С.В. (4862) 76-84-99</t>
  </si>
  <si>
    <t>семена, удобрения</t>
  </si>
  <si>
    <t>ежедневно с 9-00 до 17-00, выходной - понедельник</t>
  </si>
  <si>
    <t>Магазин "Строй Мастер"</t>
  </si>
  <si>
    <t>п. Кромы, ул. 25 Октября, д. 23</t>
  </si>
  <si>
    <t>ИП Луканкин А.В.</t>
  </si>
  <si>
    <t>Луканкин Алексей Владимирович</t>
  </si>
  <si>
    <t>Луканкин А.В. 89155089805</t>
  </si>
  <si>
    <t>строительные материалы</t>
  </si>
  <si>
    <t>ежедневно с 9-00 до 19-00</t>
  </si>
  <si>
    <t>Магазин "Каприз"</t>
  </si>
  <si>
    <t>п. Кромы, ул. К. Маркса, д. 3</t>
  </si>
  <si>
    <t>9102060065</t>
  </si>
  <si>
    <t>ИП Касьянова М.В.</t>
  </si>
  <si>
    <t>Касьянова М.В. 9102060065</t>
  </si>
  <si>
    <t>женская одежда</t>
  </si>
  <si>
    <t>ежедневно с 10-00 до 18-00, перерыв с 13-00 до 14-00, суббота с 10-00 до 15-00, выходной - воскресенье</t>
  </si>
  <si>
    <t>Магазин "Гарант"</t>
  </si>
  <si>
    <t>9102657977</t>
  </si>
  <si>
    <t>ИП Козорезова Н.А.</t>
  </si>
  <si>
    <t>Козорезова Н.А., 9102657977</t>
  </si>
  <si>
    <t>товары повседневного спроса для дома и сада, интерьера, декора</t>
  </si>
  <si>
    <t>Б. Колчевское с.п.</t>
  </si>
  <si>
    <t>Кромской район, д. Кромской мост, АЗС №5</t>
  </si>
  <si>
    <t>ИП Шестопалов Н.М.</t>
  </si>
  <si>
    <t>Шестопалов Н.М.</t>
  </si>
  <si>
    <t>Магазин "Все для дома"</t>
  </si>
  <si>
    <t xml:space="preserve">п. Кромы, ул. 25 Октября, д. 8 </t>
  </si>
  <si>
    <t>84864320189</t>
  </si>
  <si>
    <t>ИП Сергеева И.Г.</t>
  </si>
  <si>
    <t>Сергеева И.Г., 84864322742</t>
  </si>
  <si>
    <t>Кромской район, д. Кромской мост</t>
  </si>
  <si>
    <t>84864322979</t>
  </si>
  <si>
    <t>ИП Чечкин В.Е.</t>
  </si>
  <si>
    <t>Чечкин В.Е., 84864322979</t>
  </si>
  <si>
    <t>Магазин "Дом, сад, огород"</t>
  </si>
  <si>
    <t>п. Кромы, пер. Сидельникова, д. 22 а</t>
  </si>
  <si>
    <t>84864326138</t>
  </si>
  <si>
    <t>ИП Барабашов Ю.А.</t>
  </si>
  <si>
    <t>Барабашов Ю.А., 9103013648</t>
  </si>
  <si>
    <t>товары для дома</t>
  </si>
  <si>
    <t>ежедневно с 9-00 до 18-00, перерыв с 14-00 до 15-00</t>
  </si>
  <si>
    <t>Магазин-салон "Эдеас"</t>
  </si>
  <si>
    <t>п. Кромы, пер. Сидельникова, д. 22 в</t>
  </si>
  <si>
    <t>84864321640,   s-pole@mail.ru</t>
  </si>
  <si>
    <t>ИП Полехин С.В.</t>
  </si>
  <si>
    <t>Полехин С.В., 9208117010</t>
  </si>
  <si>
    <t>сопутствующие товары к фото</t>
  </si>
  <si>
    <t>Магазин "Промтовары"</t>
  </si>
  <si>
    <t>п. Кромы, ул. К. Маркса, д. 5</t>
  </si>
  <si>
    <t>мебель и бытовая техника</t>
  </si>
  <si>
    <t>Магазин "Армада"</t>
  </si>
  <si>
    <t>9202879887</t>
  </si>
  <si>
    <t>ИП Басова М.П.</t>
  </si>
  <si>
    <t>Басова М.П., 9202879887</t>
  </si>
  <si>
    <t>ежедневно с 8-00 до 19-00, суббота, вовскресенье с 8-00 до 17-00</t>
  </si>
  <si>
    <t>Магазин "Непоседа"</t>
  </si>
  <si>
    <t>9103005877</t>
  </si>
  <si>
    <t>ИП Донцова Н.А.</t>
  </si>
  <si>
    <t>Орловская обл., п. Кромы, ул. Советская, д. 62а, кв. 8</t>
  </si>
  <si>
    <t>Донцова Н.А., 9103005877</t>
  </si>
  <si>
    <t>детские товары, детская одежда</t>
  </si>
  <si>
    <t>ежедневно с 9-00 до 18-00, без перерыва, выходной - воскресенье</t>
  </si>
  <si>
    <t>Магазин "Детская обувь"</t>
  </si>
  <si>
    <t>9066656666</t>
  </si>
  <si>
    <t>детская обувь</t>
  </si>
  <si>
    <t>Магазин "1000 мелочей"</t>
  </si>
  <si>
    <t>п. Кромы, пер. Бубнова, д. 24а</t>
  </si>
  <si>
    <t>9103008133</t>
  </si>
  <si>
    <t>ИП Висягин С.А.</t>
  </si>
  <si>
    <t>Орловская обл., п. Кромы, ул. К. Маркса, д. 40а, кв. 41</t>
  </si>
  <si>
    <t>Висягин С.А., 9103008133</t>
  </si>
  <si>
    <t>Магазин "Игрушки"</t>
  </si>
  <si>
    <t>детские игрушки</t>
  </si>
  <si>
    <t>Магазин "Автотрест"</t>
  </si>
  <si>
    <t>п. Кромы, пер. Бубнова, д. 21</t>
  </si>
  <si>
    <t>84864321695</t>
  </si>
  <si>
    <t>ИП Романов А.Ю.</t>
  </si>
  <si>
    <t>Романов А.Ю., 9102628314</t>
  </si>
  <si>
    <t>автозапчасти, краска</t>
  </si>
  <si>
    <t>Магазин "Пиротехника"</t>
  </si>
  <si>
    <t>9208090080</t>
  </si>
  <si>
    <t>ИП Шекшуева О.В.</t>
  </si>
  <si>
    <t>Шекшуева О.В. 9208090080</t>
  </si>
  <si>
    <t>пиротехника</t>
  </si>
  <si>
    <t>ежедневно с 9-00 до 16-00</t>
  </si>
  <si>
    <t>Магазин "Шанс"</t>
  </si>
  <si>
    <t>п. Кромы, пер. Сидельникова, д. 5</t>
  </si>
  <si>
    <t>9050466943</t>
  </si>
  <si>
    <t>ИП Тимохин С.Л.</t>
  </si>
  <si>
    <t>Тимохин С.Л., 9050466943</t>
  </si>
  <si>
    <t>ткани, товары для рукоделия</t>
  </si>
  <si>
    <t>Магазин "Первый обувной"</t>
  </si>
  <si>
    <t>9155016827</t>
  </si>
  <si>
    <t>ИП Болвинова О.Н.</t>
  </si>
  <si>
    <t>Болвинова О.Н., 9155016827</t>
  </si>
  <si>
    <t>обувь</t>
  </si>
  <si>
    <t>Магазин "Одежда"</t>
  </si>
  <si>
    <t>ИП Мельникова В.И.</t>
  </si>
  <si>
    <t>Мельникова В.И.</t>
  </si>
  <si>
    <t>повседневная одежда</t>
  </si>
  <si>
    <t>ежедневно с 10-00 до 18-00, воскресенье с 10-00 до 15-00</t>
  </si>
  <si>
    <t>Магазин "Окна двери"</t>
  </si>
  <si>
    <t>9102048477</t>
  </si>
  <si>
    <t>ИП Лежепеков В.В.</t>
  </si>
  <si>
    <t>Лежепеков В.В., 9102048477</t>
  </si>
  <si>
    <t>окна, двери</t>
  </si>
  <si>
    <t>Магазин "Хозторг"</t>
  </si>
  <si>
    <t>п. Кромы, ул. К. Маркса, д. 38а</t>
  </si>
  <si>
    <t>84864322867</t>
  </si>
  <si>
    <t>ИП Лежепеков Г.В.</t>
  </si>
  <si>
    <t>Орловская обл., п. Кромы, ул. Молодежная, д. 11</t>
  </si>
  <si>
    <t>Бытовая техника, товары для дома, интерьера, стройматериалы</t>
  </si>
  <si>
    <t>Магазин № 17</t>
  </si>
  <si>
    <t>п. Кромы, ул. 25 Октября, д. 49</t>
  </si>
  <si>
    <t>84864320148</t>
  </si>
  <si>
    <t>сдается в аренду</t>
  </si>
  <si>
    <t>Магазин "Бытовая техника"</t>
  </si>
  <si>
    <t>п. Кромы, ул. К. Маркса, д. 6</t>
  </si>
  <si>
    <t>ИП Козлов Игорь Александрович</t>
  </si>
  <si>
    <t>г. орел</t>
  </si>
  <si>
    <t>ИП Болвинова Ольга Николаевна</t>
  </si>
  <si>
    <t>Козлов И.А. 89103030060</t>
  </si>
  <si>
    <t>ежедневно с 9-00 до 18-00, выходной: воскресенье</t>
  </si>
  <si>
    <t>Магазин "Текстиль PLUS"</t>
  </si>
  <si>
    <t>п. Кромы, ул. К. Маркса, д. 8</t>
  </si>
  <si>
    <t>ИП Ершов Алексей Николаевич</t>
  </si>
  <si>
    <t>Кромской р-н, д. Б. Драгунская</t>
  </si>
  <si>
    <t>Текстиль</t>
  </si>
  <si>
    <t>ежедневно с 10-00 до 18-00, выходной: воскресенье</t>
  </si>
  <si>
    <t>Магазин "Канцтовары"</t>
  </si>
  <si>
    <t>ИП  Карачевская А.И.</t>
  </si>
  <si>
    <t xml:space="preserve">п. Кромы, </t>
  </si>
  <si>
    <t>ИП Карачевская Алена Игоревна, 89102072948</t>
  </si>
  <si>
    <t>Канцелярские товары, текстиль</t>
  </si>
  <si>
    <t>Ежедневно с 9-00 до 17-00</t>
  </si>
  <si>
    <t>Магазин "Гараж"</t>
  </si>
  <si>
    <t>ИП Клюшников Дм. Ник.</t>
  </si>
  <si>
    <t>Орловская обл., Кромской район</t>
  </si>
  <si>
    <t>Клюшников Дмитрий Николаевич</t>
  </si>
  <si>
    <t>Автозапчасти и сопутствующие товары</t>
  </si>
  <si>
    <t>ежедневно с 9-00 до 18-00, суббота, воскресенье с 9-00 до 17-00</t>
  </si>
  <si>
    <t>Магазин "Виктория"</t>
  </si>
  <si>
    <t>п. Кромы, пер. Газопроводский, д. 7</t>
  </si>
  <si>
    <t xml:space="preserve">84864320148, kromy.raypo@yandex.ru </t>
  </si>
  <si>
    <t xml:space="preserve">Павлова Н.М., 84864320148, kromy.raypo@yandex.ru </t>
  </si>
  <si>
    <t>Бабенцева Т.Ю., 89066605111</t>
  </si>
  <si>
    <t>продтовары включая крепкий алкоголь, чистящие и моющие средства</t>
  </si>
  <si>
    <t>Магазин № 56</t>
  </si>
  <si>
    <t>Кромской район, с. Кутафино</t>
  </si>
  <si>
    <t>84864321183</t>
  </si>
  <si>
    <t>Сыромятников М.А.</t>
  </si>
  <si>
    <t>ежедневно с 9-00 до 17-00, выходной - воскресенье</t>
  </si>
  <si>
    <t>Гостомльское с.п.</t>
  </si>
  <si>
    <t>Магазин № 36</t>
  </si>
  <si>
    <t>Кромской район, д. Моховое</t>
  </si>
  <si>
    <t>Крутых Е.А.</t>
  </si>
  <si>
    <t>Магазин № 50</t>
  </si>
  <si>
    <t>Кромской район, д. Гостомль</t>
  </si>
  <si>
    <t>84864325224</t>
  </si>
  <si>
    <t>Шейченко А.В., 84864325224</t>
  </si>
  <si>
    <t>Магазин № 4</t>
  </si>
  <si>
    <t>Кромской район, д. Котовка</t>
  </si>
  <si>
    <t>84864323130</t>
  </si>
  <si>
    <t>Манько И.Н., 89051689990</t>
  </si>
  <si>
    <t>ежедневно с 8-00 до 20-00, выходной - воскресенье</t>
  </si>
  <si>
    <t>Короськовское с.п.</t>
  </si>
  <si>
    <t>Магазин № 1</t>
  </si>
  <si>
    <t>Кромской район, с. Короськово</t>
  </si>
  <si>
    <t>Ханыкина Л.И.</t>
  </si>
  <si>
    <t>Ретяжское с.п.</t>
  </si>
  <si>
    <t>Магазин № 2</t>
  </si>
  <si>
    <t>Кромской район, д. Семенково</t>
  </si>
  <si>
    <t>Мусатова Т.Н.</t>
  </si>
  <si>
    <t>Магазин № 9</t>
  </si>
  <si>
    <t>Кромской район, д. Б. Колчево</t>
  </si>
  <si>
    <t>Шохина И.Н.</t>
  </si>
  <si>
    <t>Красниковское с.п.</t>
  </si>
  <si>
    <t xml:space="preserve">Магазин № 18 </t>
  </si>
  <si>
    <t>Кромской район, д. Рассоховец</t>
  </si>
  <si>
    <t>Митрякова Л.Л.</t>
  </si>
  <si>
    <t>Магазин АЗК № 5 ОАО "Орелнефтепродукт"</t>
  </si>
  <si>
    <t>ОАО "Орелнефтепродукт"</t>
  </si>
  <si>
    <t>г. Орел., ул. Маяковского, д. 40</t>
  </si>
  <si>
    <t>Белянский А.Н., 84862432175, onp@onp.orel.ru</t>
  </si>
  <si>
    <t>Булгаков М.Н., 84864321408</t>
  </si>
  <si>
    <t>сопутствующие продтовары в дорогу</t>
  </si>
  <si>
    <t>круглосуточно</t>
  </si>
  <si>
    <t>ФКУ ИК-6 Минюста России</t>
  </si>
  <si>
    <t>303222, Орловская обл., Кромской район, п.Шахово</t>
  </si>
  <si>
    <t>Филин Дмитрий Юрьевич,  8(48643) 2-06-45, 2-06-75</t>
  </si>
  <si>
    <t>Корнеев С.В., 84864321337</t>
  </si>
  <si>
    <t>продтовары  и мыльные принадлежности</t>
  </si>
  <si>
    <t>Кромской район, д. Семенково, д. 69</t>
  </si>
  <si>
    <t>ИП Бакин В.В., ООО "ВолНа"</t>
  </si>
  <si>
    <t>продтовары, включая пиво, чистящие и моющие средства</t>
  </si>
  <si>
    <t>Магазин "Новинка"</t>
  </si>
  <si>
    <t>п. Кромы, ул. К. Маркса, д. 24</t>
  </si>
  <si>
    <t>84864320560</t>
  </si>
  <si>
    <t>ИП Смагина Т.Г., ООО "Реал-Продукт"</t>
  </si>
  <si>
    <t>303200, Орловская обл., п. Кромы, ул. 5 Августа, д. 1, кв. 7</t>
  </si>
  <si>
    <t>Смагина Т.Г., 84864320560</t>
  </si>
  <si>
    <t>Егорцев А.В., eav2304@rambler.ru</t>
  </si>
  <si>
    <t>продтовары, чистящие и моющие средства</t>
  </si>
  <si>
    <t>Ежедневно с 9-00 до 21-00</t>
  </si>
  <si>
    <t>Апальковское с.п.</t>
  </si>
  <si>
    <t>Кромской район, с. Апальково</t>
  </si>
  <si>
    <t>ИП Теплова Н.А.</t>
  </si>
  <si>
    <t>Кромской район п. Успенский</t>
  </si>
  <si>
    <t>Теплова Н.А.</t>
  </si>
  <si>
    <t>Кромской район, д. Макеево</t>
  </si>
  <si>
    <t>Кромской район, п. Морозовский, д. 25</t>
  </si>
  <si>
    <t>ИП Бакин В.В.</t>
  </si>
  <si>
    <t>Кромской район, с. Вожово, д. 5, кв. 1</t>
  </si>
  <si>
    <t>9606533707</t>
  </si>
  <si>
    <t>ИП Головкова С.В.</t>
  </si>
  <si>
    <t>Головкова Светлана Васильевна, 9606533707</t>
  </si>
  <si>
    <t>Головкова С.В., 9606533707</t>
  </si>
  <si>
    <t>Продукты питания, чистящие и моющие средства, средства личной гигиены</t>
  </si>
  <si>
    <t>Кромской район, с. Вожово, ул. Строителей, д. 23а</t>
  </si>
  <si>
    <t>Ежедневно с 8-00 до 19-00</t>
  </si>
  <si>
    <t>Кромской район, п. Шоссе, д. 2б</t>
  </si>
  <si>
    <t>ИП Корниец С.Б.</t>
  </si>
  <si>
    <t>Кромской район п. Шоссе</t>
  </si>
  <si>
    <t>Корниец Св. Бахромовна</t>
  </si>
  <si>
    <t>Корниец С.Б.</t>
  </si>
  <si>
    <t>продтовары, пиво, чистящие и моющие средства</t>
  </si>
  <si>
    <t>ежедневно с 9-00 до 18-00, выходной воскресенье</t>
  </si>
  <si>
    <t>Магазин "Красное и Белое"</t>
  </si>
  <si>
    <t>п. Кромы, пер. Куренцова, д. 10а</t>
  </si>
  <si>
    <t>ООО "Альфа Владимир"</t>
  </si>
  <si>
    <t>600024, Владимирская обл., г. Владимир, ул. Западная, д. 59</t>
  </si>
  <si>
    <t>Леонов Андрей Сергеевич</t>
  </si>
  <si>
    <t>Грицкова Екатерина Сергеевна, 89208096088</t>
  </si>
  <si>
    <t>ежедневно с 9-00 до 22-05</t>
  </si>
  <si>
    <t xml:space="preserve"> </t>
  </si>
  <si>
    <t>Магазин "Магнит"</t>
  </si>
  <si>
    <t>п. Кромы, ул. К. Маркса, д. 40</t>
  </si>
  <si>
    <t>ЗАО "Тандер"</t>
  </si>
  <si>
    <t>Орловская обл, Орловский район, д. Хардиково, ул. Совхозная, д. 10</t>
  </si>
  <si>
    <t>Новикова Г.Н., 4862339171</t>
  </si>
  <si>
    <t>продтовары, включая крепкий алкоголь, чистящие и моющие средства</t>
  </si>
  <si>
    <t>ежедневно с 9-00 до 21-00</t>
  </si>
  <si>
    <t>Стрелецкое с.п.</t>
  </si>
  <si>
    <t>Магазин "Тандем"</t>
  </si>
  <si>
    <t>п. Кромы, ул. 30 лет Победы, д. 46</t>
  </si>
  <si>
    <t>ИП Барабашов Ю.А., ООО "Реал-Продукт"</t>
  </si>
  <si>
    <t>Орловская обл., п. Кромы, ул. Тургенева</t>
  </si>
  <si>
    <t>Магазин "Домашний"</t>
  </si>
  <si>
    <t>п. Кромы, ул. 1 Мая, д. 39 лит. А</t>
  </si>
  <si>
    <t>84864322835</t>
  </si>
  <si>
    <t>ИП Романов Р.Л.</t>
  </si>
  <si>
    <t>Романов Р.Л.</t>
  </si>
  <si>
    <t>Романова Т.А., 9202841028</t>
  </si>
  <si>
    <t>продтовары, включая товары личной гигиены</t>
  </si>
  <si>
    <t>Магазин "Любимый"</t>
  </si>
  <si>
    <t>Кромской район, д. Малая Драгунская, д. 19</t>
  </si>
  <si>
    <t>ИП Годовников А.Н.</t>
  </si>
  <si>
    <t>Орловская обл., Кромской район, д. Б. Драгунская</t>
  </si>
  <si>
    <t>Годовников А.Н. 9208168452</t>
  </si>
  <si>
    <t xml:space="preserve">ежедневно с 9-00 до 18-00  </t>
  </si>
  <si>
    <t>Магазин "Рябинушка"</t>
  </si>
  <si>
    <t>п. Кромы, ул. К. Маркса, д. 90</t>
  </si>
  <si>
    <t>9192684304</t>
  </si>
  <si>
    <t>Лебедева О.В., 89192684304</t>
  </si>
  <si>
    <t>Магазин "Березка"</t>
  </si>
  <si>
    <t>Кромской район, д. Рассыльная</t>
  </si>
  <si>
    <t>9208108343</t>
  </si>
  <si>
    <t>ИП Дигель Н.В., ООО "МегаТрейд"</t>
  </si>
  <si>
    <t>303210, Орловская обл., Кромской р-н, д. Черкасская, д. 63В</t>
  </si>
  <si>
    <t>Дигель Н.В., 9208108343</t>
  </si>
  <si>
    <t>Варсегова Татьяна Сергеевна</t>
  </si>
  <si>
    <t>Кромской район, д. М. Драгунская, д. 19</t>
  </si>
  <si>
    <t>9202867056</t>
  </si>
  <si>
    <t>ИП Корягина С.В.</t>
  </si>
  <si>
    <t>Корягина Светлана Валерьевна, 9202867056</t>
  </si>
  <si>
    <t>продтовары без алкоголя, чистящие и моющие средства</t>
  </si>
  <si>
    <t>ежедневно с 9-00 до 19-00, выходной - понедельник</t>
  </si>
  <si>
    <t>Магазин "Черкасский"</t>
  </si>
  <si>
    <t>Кромской район, д. Черкасская</t>
  </si>
  <si>
    <t xml:space="preserve">ежедневно с 9-00 до 17-00  </t>
  </si>
  <si>
    <t>Магазин "Пятерочка"</t>
  </si>
  <si>
    <t>п. Кромы, пер. Пушкарский, д. 8а</t>
  </si>
  <si>
    <t>ООО "Агроторг"</t>
  </si>
  <si>
    <t>г. Санкт Петербург, ул. Варшавская, д. 23</t>
  </si>
  <si>
    <t>Игорь Шехтерман, +7 (812) 448-30-10, box335@mail.wplus.net</t>
  </si>
  <si>
    <t>Рудаков А.Д. 9031138039</t>
  </si>
  <si>
    <t>Магазин "Звездочка"</t>
  </si>
  <si>
    <t>Кромской район, п. Успенский, д. 18</t>
  </si>
  <si>
    <t>9066651599</t>
  </si>
  <si>
    <t>ИП Алехин А.В.</t>
  </si>
  <si>
    <t>Орловская обл., Кромской район, п. Успенский</t>
  </si>
  <si>
    <t>Алехин Ал. Вик. 89065133681</t>
  </si>
  <si>
    <t>Алехин Алексей Викторович, 89606513681</t>
  </si>
  <si>
    <t>продтовары без крепкого алкоголя, чистящие и моющие средства</t>
  </si>
  <si>
    <t>ежедневно с 9-00 до 20-00, выходной - понедельник</t>
  </si>
  <si>
    <t>Кривчиковское с.п.</t>
  </si>
  <si>
    <t>Магазин "ИП Двояк Е.В."</t>
  </si>
  <si>
    <t>Кромской район, с. Кривчиково</t>
  </si>
  <si>
    <t>9202867822</t>
  </si>
  <si>
    <t>ИП Двояк Е.В.</t>
  </si>
  <si>
    <t>Орловская обл., Кромской район, с. Кривчиково, д. 175</t>
  </si>
  <si>
    <t>Двояк Е.В., 9202867822</t>
  </si>
  <si>
    <t>Деева И.В., 9031138039</t>
  </si>
  <si>
    <t>Кромской район, с. Вожово, ул. Мира, д. 5а</t>
  </si>
  <si>
    <t>9102004000</t>
  </si>
  <si>
    <t>ИП Петросян Л.А., ООО "Реал-Продукт"</t>
  </si>
  <si>
    <t>Петросян Л.А., 9102004000</t>
  </si>
  <si>
    <t>Магазин "ИП Горячев В.В."</t>
  </si>
  <si>
    <t>Кромской район, д. Стрелецкая, д. 85а</t>
  </si>
  <si>
    <t>ИП Горячев Вячеслав Викторович</t>
  </si>
  <si>
    <t>ИП Горячев В.В., 89200844757</t>
  </si>
  <si>
    <t>Кромской район, с. Шахово, ул. Победы, д. 16</t>
  </si>
  <si>
    <t>ИП Власенко М.В., ООО "Викинг"</t>
  </si>
  <si>
    <t>Орловская обл., Кромской р-н, с. Шахово, ул. Победы, д. 16</t>
  </si>
  <si>
    <t>Власенко М.В., 9208127548</t>
  </si>
  <si>
    <t>Кромской район, с. Шахово, ул. Свободы, д. 11</t>
  </si>
  <si>
    <t>п. Кромы, ул. 25 Октября, д. 8Б</t>
  </si>
  <si>
    <t>Магазин № 31</t>
  </si>
  <si>
    <t>Кромской район, д. Апальково</t>
  </si>
  <si>
    <t>Картохина С.В.</t>
  </si>
  <si>
    <t>ежедневно с 9.00 до 17.00</t>
  </si>
  <si>
    <t>Магазин "Ярмарка"</t>
  </si>
  <si>
    <t>Колчева Н.М.</t>
  </si>
  <si>
    <t>Продовольственные и непродовольственная группа товаров</t>
  </si>
  <si>
    <t>ежедневно с 8.00 до 20.00</t>
  </si>
  <si>
    <t>Магазин "Монетка"</t>
  </si>
  <si>
    <t>Магазин № 33</t>
  </si>
  <si>
    <t>Кромской район, д. Кривчиково</t>
  </si>
  <si>
    <t>Зиновьева Г.В.</t>
  </si>
  <si>
    <t>Б.Колчевское с.п.</t>
  </si>
  <si>
    <t>Кромской район, п. Кромской</t>
  </si>
  <si>
    <t>ИП Сонина Н.И.</t>
  </si>
  <si>
    <t>Орловская обл., п. Кромы, ул. Свободы, д. 57, кв. 14</t>
  </si>
  <si>
    <t>Сонина Н.И., 9102082791</t>
  </si>
  <si>
    <t>Сонина Н.И.</t>
  </si>
  <si>
    <t>ежедневно с 9-00 до 18-00 перерыв с 13-00 до 14-00</t>
  </si>
  <si>
    <t>"Торговый центр"</t>
  </si>
  <si>
    <t>Егорцев А.В., 9107480996</t>
  </si>
  <si>
    <t>ИП Егорцев А.В.</t>
  </si>
  <si>
    <t>Орловская обл., п. Кромы, пер. Пушкарский, д. 8а</t>
  </si>
  <si>
    <t>Сдается в аренду</t>
  </si>
  <si>
    <t>"Бизнес центр"</t>
  </si>
  <si>
    <t>п. Кромы, ул. 25 Октября, д. 38 "А"</t>
  </si>
  <si>
    <t>Манохин И.А., 9606480001 orel@tekoplus.ru</t>
  </si>
  <si>
    <t>Манохин И.А.</t>
  </si>
  <si>
    <t>ИП Манохин И.А.</t>
  </si>
  <si>
    <t>п. Кромы, ул. 25 Октября, д. 29</t>
  </si>
  <si>
    <t>Бречкина Н.В. 84864320534</t>
  </si>
  <si>
    <t>Михайлюков И.В.</t>
  </si>
  <si>
    <t>ООО "Торговый дом "Мастер-М"</t>
  </si>
  <si>
    <t>143405,Московская обл, г. Красногорск, ш. Ильинское д. 4; п. Кромы, ул. 25 Октября, д. 29</t>
  </si>
  <si>
    <t>Торговый центр "Кромы"</t>
  </si>
  <si>
    <t>п. Кромы, ул. 25 Октября, д. 20</t>
  </si>
  <si>
    <t>Абашидзе М.С.</t>
  </si>
  <si>
    <t>Абашидзе М.С., 9192040539</t>
  </si>
  <si>
    <t>ИП Абашидзе М.С.</t>
  </si>
  <si>
    <t>ежедневно с 8-00 до 19-00</t>
  </si>
  <si>
    <t>Торговый центр "Южный"</t>
  </si>
  <si>
    <t>п. Кромы, ул. 25 Октября, д. 31</t>
  </si>
  <si>
    <t>"Универсам"</t>
  </si>
  <si>
    <t>п. Кромы, ул. 25 Октября, д.3</t>
  </si>
  <si>
    <t>Орловская обл., п. Кромы, пл. Освобождения, д. 2</t>
  </si>
  <si>
    <t>ежедневно с 9-00 до 18-01</t>
  </si>
  <si>
    <t>Киоск "Хлеб"</t>
  </si>
  <si>
    <t>ИП Сафонова Е.В.</t>
  </si>
  <si>
    <t>Хлеб и хлебобулочные изделия</t>
  </si>
  <si>
    <t>ежедневно с 8-00 до 14-00, выходной - понедельник</t>
  </si>
  <si>
    <t>Киоск Знаменского СГЦ</t>
  </si>
  <si>
    <t>ООО "Макстер"</t>
  </si>
  <si>
    <t>ООО "Макстер", Соловьев И.И., 84864320148, Орловская область, г. Орел, ул. Ливенская, д. 3</t>
  </si>
  <si>
    <t>свинина охлажденная, субпродукты свиные</t>
  </si>
  <si>
    <t>ежедневно с 8-00 до 20-00, вторник, четверг</t>
  </si>
  <si>
    <t>Киоск "Хозтовары"</t>
  </si>
  <si>
    <t>Кромы, пер. Вожовский</t>
  </si>
  <si>
    <t>ИП Буренина А.В.</t>
  </si>
  <si>
    <t>Товары для строительства и ремонта</t>
  </si>
  <si>
    <t>ежедневно с 8-00 до 16-00, выходной - понедельник</t>
  </si>
  <si>
    <t>Киоск</t>
  </si>
  <si>
    <t>ИП Решедько Е.А.</t>
  </si>
  <si>
    <t>Одежда</t>
  </si>
  <si>
    <t>Киоск "1000 мелочей"</t>
  </si>
  <si>
    <t>ИП Висягин С.А., 9103008133, vsa-orel@mail.ru</t>
  </si>
  <si>
    <t>Стройматериалы и товары для дома</t>
  </si>
  <si>
    <t>Киоск "Комбикорм"</t>
  </si>
  <si>
    <t>Орловская обл., Кромской р-н, д. Черкасская, ул. Розы Люксембург</t>
  </si>
  <si>
    <t>ИП Медведев Игорь Викторович, Тел. 89803630795</t>
  </si>
  <si>
    <t>Комбикорма</t>
  </si>
  <si>
    <t>Павильон</t>
  </si>
  <si>
    <t>п. Кромы, ул. 25 Октября, д. 1 "А"</t>
  </si>
  <si>
    <t>ИП Таничева И.Н.</t>
  </si>
  <si>
    <t>Таничева И.Н.</t>
  </si>
  <si>
    <t>Продтовары, включая пиво</t>
  </si>
  <si>
    <t>Павильон "Самое любимое"</t>
  </si>
  <si>
    <t>п. Кромы (территория ярмарочной площади)</t>
  </si>
  <si>
    <t>ИП Лежепекова Н.Н.</t>
  </si>
  <si>
    <t>Лежепекова Н.Н.</t>
  </si>
  <si>
    <t>Кондитерские изделия</t>
  </si>
  <si>
    <t>ежедневно с 9-00 до 15-00, выходной - понедельник</t>
  </si>
  <si>
    <t>Павильон "Родное село"</t>
  </si>
  <si>
    <t>ОАО АПК "Орловская Нива"</t>
  </si>
  <si>
    <t>Мясная, молочная и хлебная продукция</t>
  </si>
  <si>
    <t>ежедневно с 8-00 до 18-00</t>
  </si>
  <si>
    <t>Павильон "Продукты"</t>
  </si>
  <si>
    <t>ИП Лазутин В.А.</t>
  </si>
  <si>
    <t>ИП Лазутина В.А.</t>
  </si>
  <si>
    <t>ежедневно с 8-00 до 16-00, выходной - понедельник, среда</t>
  </si>
  <si>
    <t>Павильон "Дубки"</t>
  </si>
  <si>
    <t>п. Кромы, ул. 25 Октября, д. 5</t>
  </si>
  <si>
    <t>ИП Исаенко Д.С.</t>
  </si>
  <si>
    <t>ИП Кузнецова Т.А., 9103000075</t>
  </si>
  <si>
    <t>Мясная продукция, бакалея</t>
  </si>
  <si>
    <t>Павильон "Фруктовый рай"</t>
  </si>
  <si>
    <t>ИП Рустамов Хушвакт Рустамович</t>
  </si>
  <si>
    <t>Овощи, фрукты, орехи</t>
  </si>
  <si>
    <t xml:space="preserve">Павильон </t>
  </si>
  <si>
    <t>ИП Дрожжаков И.В.</t>
  </si>
  <si>
    <t>Установка антенн "Триколор ТВ"</t>
  </si>
  <si>
    <t>ежедневно с 9-00 до 16-00, выходной - понедельник</t>
  </si>
  <si>
    <t>Павильон "Евросеть"</t>
  </si>
  <si>
    <t>п. Кромы, 25 Октября, д. 5</t>
  </si>
  <si>
    <t>ООО "Сеть "Связной"</t>
  </si>
  <si>
    <t>Сотовые телефоны, планшеты и сопутствующие товары к ним</t>
  </si>
  <si>
    <t>Павильон "Цифромаркет"</t>
  </si>
  <si>
    <t>ИП Сидорова Н.И.</t>
  </si>
  <si>
    <t>ИП Новиков С.А.</t>
  </si>
  <si>
    <t>CD DVD диски (фильмы, музыка)</t>
  </si>
  <si>
    <t>Павильон "Игрушки"</t>
  </si>
  <si>
    <t>ИП Новикова О.Е.</t>
  </si>
  <si>
    <t>детские игрушки, одежда, обувь</t>
  </si>
  <si>
    <t>ИП Ионин С.А.</t>
  </si>
  <si>
    <t>ИП Сасин В.Л.</t>
  </si>
  <si>
    <t>Хозтовары</t>
  </si>
  <si>
    <t>ИП Елховикова Л.В.</t>
  </si>
  <si>
    <t>Семена, рассада</t>
  </si>
  <si>
    <t>ежедневно с 8-00 до 15-00, выходной - понедельник</t>
  </si>
  <si>
    <t>Павильон "Джинсы"</t>
  </si>
  <si>
    <t>Джинсы, брюки, рубашки</t>
  </si>
  <si>
    <t>Павильон "Детская одежда"</t>
  </si>
  <si>
    <t>Детская одежда</t>
  </si>
  <si>
    <t>Павильон "Связной"</t>
  </si>
  <si>
    <t>ИП Ефимов В.В.</t>
  </si>
  <si>
    <t>Сотовые телефоны (Ремонт и обслуживание цифровой техники)</t>
  </si>
  <si>
    <t>Павильон "Цветы Анастасия"</t>
  </si>
  <si>
    <t>ИП Савчина Е.Л., 9103085567</t>
  </si>
  <si>
    <t>горшечные, срезанные цветы, сувениры</t>
  </si>
  <si>
    <t>Павильон "Теле2"</t>
  </si>
  <si>
    <t>п. Кромы, площадь Базарная</t>
  </si>
  <si>
    <t>ООО "Т2 Мобайл" Степкин А.И.</t>
  </si>
  <si>
    <t>с 8-00 до 20-00</t>
  </si>
  <si>
    <t>Павильон "МТС"</t>
  </si>
  <si>
    <t>ИП Федосов А.И.</t>
  </si>
  <si>
    <t>Павильон "Церковная лавка"</t>
  </si>
  <si>
    <t>МПРО ПРИХОД СВЯТО-НИКОЛЬСКОГО ХРАМА ПОСЕЛКА КРОМЫ ОРЛОВСКОЙ ОБЛАСТИ ОРЛОВСКО-ЛИВЕНСКОЙ ЕПАРХИИ РУССКОЙ ПРАВОСЛАВНОЙ ЦЕРКВИ</t>
  </si>
  <si>
    <t>Церковная утварь</t>
  </si>
  <si>
    <t>с 9-00 до 15-00</t>
  </si>
  <si>
    <t>Павильон "Рыболовные товары"</t>
  </si>
  <si>
    <t>ИП Карнаухов Леонид Григорьевич, 89107478179</t>
  </si>
  <si>
    <t>Рыболовные товары</t>
  </si>
  <si>
    <t>Кривчиковский с.п.</t>
  </si>
  <si>
    <t>Кромской район, д. Шумаково</t>
  </si>
  <si>
    <t>ИП Мекшинева Т.А.</t>
  </si>
  <si>
    <t>продовольственный товары и товары повседневного спроса</t>
  </si>
  <si>
    <t>Кромской район, п. Успенский, д. 27/2</t>
  </si>
  <si>
    <t>ИП Теплова Наталья Анатольевна, 89051662882</t>
  </si>
  <si>
    <t>Кромской район, д. Голубица</t>
  </si>
  <si>
    <t>ИП Торопова Татьяна Владимировна</t>
  </si>
  <si>
    <t>Ярмарочная площадь с торговыми павильонами</t>
  </si>
  <si>
    <t>универсальная</t>
  </si>
  <si>
    <t>Продтовары, обувь, одежда</t>
  </si>
  <si>
    <t>Ежедневно, кроме понедельника с 7-00 до 15-00</t>
  </si>
  <si>
    <t>п. Кромы, пер. Вожовский; п. Кромы, Базарная площадь; п. Кромы, пер. Вожовский, д. 19</t>
  </si>
  <si>
    <t>Кромское РАЙПО, Павлова Н.М., 84864320148</t>
  </si>
  <si>
    <t>с 7-00 до 15-00</t>
  </si>
  <si>
    <t>п. Кромы, пер. Вожовский, д. 19 (на территории рынка)</t>
  </si>
  <si>
    <t>ИП Парамонова Ольга Григорьевна</t>
  </si>
  <si>
    <t>Парамонова О.Г.</t>
  </si>
  <si>
    <t>с 9-00 до 15-00, выходной - понедельник</t>
  </si>
  <si>
    <t>енвд</t>
  </si>
  <si>
    <t>Беляев В.Ю.</t>
  </si>
  <si>
    <t>с 9-00 до 17-00</t>
  </si>
  <si>
    <t>из</t>
  </si>
  <si>
    <t>Кромской почтамт УФПС Орловской области – филиала ФГУП «Почта России»</t>
  </si>
  <si>
    <t>п. Кромы, ул. 25 Октября, д. 30</t>
  </si>
  <si>
    <t>УФПС Орловской области – филиала ФГУП «Почта России»</t>
  </si>
  <si>
    <t>302028, г. Орел, ул. Ленина, д. 43</t>
  </si>
  <si>
    <t>Кравцов И.П., 8(4862) 41-01-47</t>
  </si>
  <si>
    <t>Терехов Алексей   8(48643)21496</t>
  </si>
  <si>
    <t>с 9-00 до 20-00</t>
  </si>
  <si>
    <t>ОПС Апальково</t>
  </si>
  <si>
    <t>Кромской р-н, Апальковское с.п., с. Апальково</t>
  </si>
  <si>
    <t>Абалаков Дмитрий Александрович 8(48643)21496</t>
  </si>
  <si>
    <t>Белякова И.В.</t>
  </si>
  <si>
    <t>с 9-00 до 18-00, выходной: воскресенье, понедельник</t>
  </si>
  <si>
    <t>ОПС Арбузово</t>
  </si>
  <si>
    <t xml:space="preserve">Кромской район, Гуторовское с.п.,
с. Арбузово
</t>
  </si>
  <si>
    <t>Абалаков Дмитрий Александрович 8(48643)21497</t>
  </si>
  <si>
    <t>Басова Е.А.</t>
  </si>
  <si>
    <t>ОПС Атяевка</t>
  </si>
  <si>
    <t xml:space="preserve">Кромской район, Большеколчевское с.п.,
д. Атяевка, д. 1
</t>
  </si>
  <si>
    <t>п. Кромы, ул. 25 Октября, д. 32</t>
  </si>
  <si>
    <t>Абалаков Дмитрий Александрович 8(48643)21498</t>
  </si>
  <si>
    <t>Швецова О.В.</t>
  </si>
  <si>
    <t>ОПС Бельдяжки</t>
  </si>
  <si>
    <t xml:space="preserve">Кромской район, Бельдяжское с.п.,
д. Бельдяжки
</t>
  </si>
  <si>
    <t>п. Кромы, ул. 25 Октября, д. 33</t>
  </si>
  <si>
    <t>Абалаков Дмитрий Александрович 8(48643)21499</t>
  </si>
  <si>
    <t>Шишкина Г.А.</t>
  </si>
  <si>
    <t xml:space="preserve">ОПС Шахово </t>
  </si>
  <si>
    <t xml:space="preserve">Кромской район, Шаховское с.п., 
д. Котовка
</t>
  </si>
  <si>
    <t>Плясова М.А.</t>
  </si>
  <si>
    <t xml:space="preserve">ОПС Кутафино </t>
  </si>
  <si>
    <t xml:space="preserve">Кромской район, Кутафинское с.п.,
с. Кутафино, д. 5
</t>
  </si>
  <si>
    <t>Семушкина Г.М.</t>
  </si>
  <si>
    <t xml:space="preserve">ОПС Моховое </t>
  </si>
  <si>
    <t xml:space="preserve">Кромской район, Гостомльское с.п.,
д. Моховое
</t>
  </si>
  <si>
    <t>Голубева Т.Н.</t>
  </si>
  <si>
    <t xml:space="preserve">ОПС Новочеркасский </t>
  </si>
  <si>
    <t xml:space="preserve">Кромской район, Стрелецкое с.п.,
п. Новочеркасский
</t>
  </si>
  <si>
    <t>Кулешова И.А.</t>
  </si>
  <si>
    <t xml:space="preserve">ОПС Шоссе </t>
  </si>
  <si>
    <t xml:space="preserve">Кромской район, Гостомльское с.п., 
п. Шоссе 
</t>
  </si>
  <si>
    <t>Мальфанова М.В.</t>
  </si>
  <si>
    <t>с 9-00 до 17-00, выходной: воскресенье, понедельник</t>
  </si>
  <si>
    <t xml:space="preserve">ОПС Победа </t>
  </si>
  <si>
    <t xml:space="preserve">Кромской район, Шаховское с.п., 
д. Победа
</t>
  </si>
  <si>
    <t>Костаков А.А.</t>
  </si>
  <si>
    <t xml:space="preserve">ОПС Кромской </t>
  </si>
  <si>
    <t>Кромской район, Большеколчевского с.п., п. Кромской</t>
  </si>
  <si>
    <t>8(48643)21500</t>
  </si>
  <si>
    <t>Сопина Г.Н.</t>
  </si>
  <si>
    <t>с 9-00 до 17-00, выходной: воскресенье, понедельник, четверг</t>
  </si>
  <si>
    <t xml:space="preserve">ОПС Глинки </t>
  </si>
  <si>
    <t>Кромской район, Кутафинского с.п., д. Глинки, д. 40</t>
  </si>
  <si>
    <t>Катальникова Т.И.</t>
  </si>
  <si>
    <t>с 10-00 до 15-00, выходной: воскресенье, понедельник, четверг</t>
  </si>
  <si>
    <t>ОПС Федотово</t>
  </si>
  <si>
    <t>Кромской р-н, Апальковское с.п., д. Н. Федотово</t>
  </si>
  <si>
    <t>п. Кромы, ул. 25 Октября, д. 34</t>
  </si>
  <si>
    <t>Абалаков Дмитрий Александрович 8(48643)21500</t>
  </si>
  <si>
    <t>Карась С.А.</t>
  </si>
  <si>
    <t>ОПС Короськово</t>
  </si>
  <si>
    <t>Кромской р-н, Короськовское с.п., с. Короськово</t>
  </si>
  <si>
    <t>Мартынова С.И.</t>
  </si>
  <si>
    <t>ОПС Кривчиково</t>
  </si>
  <si>
    <t>Кромской р-н, Кривчиковское с.п., д. Кривчиково</t>
  </si>
  <si>
    <t>Максимович Г.М.</t>
  </si>
  <si>
    <t>ОПС Ретяжи</t>
  </si>
  <si>
    <t>Кромской р-н, Ретяжское с.п., с. Ретяжи</t>
  </si>
  <si>
    <t>Багрова И.Н.</t>
  </si>
  <si>
    <t>Кромской район, п. Успенский</t>
  </si>
  <si>
    <t>п. Кромы, ул. К. Маркса, д. 96</t>
  </si>
  <si>
    <t>Малышева А.Л.</t>
  </si>
  <si>
    <t>Информация о дислокации ярмарок, расположенных на территории района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</si>
</sst>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9"/>
      <name val="Times New Roman"/>
      <family val="1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hidden="1" locked="0"/>
    </xf>
    <xf numFmtId="0" fontId="9" fillId="33" borderId="10" xfId="0" applyFont="1" applyFill="1" applyBorder="1" applyAlignment="1" applyProtection="1">
      <alignment horizontal="center"/>
      <protection hidden="1" locked="0"/>
    </xf>
    <xf numFmtId="0" fontId="9" fillId="0" borderId="10" xfId="0" applyFont="1" applyBorder="1" applyAlignment="1" applyProtection="1">
      <alignment horizontal="center"/>
      <protection hidden="1" locked="0"/>
    </xf>
    <xf numFmtId="0" fontId="9" fillId="0" borderId="11" xfId="0" applyFont="1" applyBorder="1" applyAlignment="1" applyProtection="1">
      <alignment/>
      <protection hidden="1" locked="0"/>
    </xf>
    <xf numFmtId="0" fontId="9" fillId="0" borderId="12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9" fillId="33" borderId="10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10" fillId="33" borderId="10" xfId="0" applyFont="1" applyFill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0" fontId="9" fillId="34" borderId="10" xfId="0" applyFont="1" applyFill="1" applyBorder="1" applyAlignment="1" applyProtection="1">
      <alignment wrapText="1"/>
      <protection hidden="1"/>
    </xf>
    <xf numFmtId="0" fontId="9" fillId="34" borderId="11" xfId="0" applyFont="1" applyFill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9" fillId="33" borderId="13" xfId="0" applyFont="1" applyFill="1" applyBorder="1" applyAlignment="1" applyProtection="1">
      <alignment wrapText="1"/>
      <protection hidden="1"/>
    </xf>
    <xf numFmtId="0" fontId="9" fillId="35" borderId="12" xfId="0" applyFont="1" applyFill="1" applyBorder="1" applyAlignment="1" applyProtection="1">
      <alignment wrapText="1"/>
      <protection hidden="1"/>
    </xf>
    <xf numFmtId="0" fontId="9" fillId="0" borderId="14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11" fillId="0" borderId="0" xfId="0" applyFont="1" applyAlignment="1" applyProtection="1">
      <alignment/>
      <protection hidden="1"/>
    </xf>
    <xf numFmtId="0" fontId="9" fillId="33" borderId="10" xfId="0" applyFont="1" applyFill="1" applyBorder="1" applyAlignment="1" applyProtection="1">
      <alignment wrapText="1"/>
      <protection hidden="1"/>
    </xf>
    <xf numFmtId="0" fontId="9" fillId="33" borderId="10" xfId="0" applyFont="1" applyFill="1" applyBorder="1" applyAlignment="1" applyProtection="1">
      <alignment horizontal="center" wrapText="1"/>
      <protection hidden="1"/>
    </xf>
    <xf numFmtId="0" fontId="9" fillId="34" borderId="15" xfId="0" applyFont="1" applyFill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9" fillId="36" borderId="16" xfId="0" applyFont="1" applyFill="1" applyBorder="1" applyAlignment="1" applyProtection="1">
      <alignment wrapText="1"/>
      <protection hidden="1"/>
    </xf>
    <xf numFmtId="0" fontId="6" fillId="0" borderId="12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9" fillId="35" borderId="10" xfId="0" applyFont="1" applyFill="1" applyBorder="1" applyAlignment="1" applyProtection="1">
      <alignment wrapText="1"/>
      <protection hidden="1" locked="0"/>
    </xf>
    <xf numFmtId="0" fontId="9" fillId="35" borderId="16" xfId="0" applyFont="1" applyFill="1" applyBorder="1" applyAlignment="1" applyProtection="1">
      <alignment wrapText="1"/>
      <protection hidden="1" locked="0"/>
    </xf>
    <xf numFmtId="0" fontId="6" fillId="35" borderId="10" xfId="0" applyFont="1" applyFill="1" applyBorder="1" applyAlignment="1" applyProtection="1">
      <alignment wrapText="1"/>
      <protection hidden="1" locked="0"/>
    </xf>
    <xf numFmtId="0" fontId="9" fillId="35" borderId="11" xfId="0" applyFont="1" applyFill="1" applyBorder="1" applyAlignment="1" applyProtection="1">
      <alignment wrapText="1"/>
      <protection hidden="1" locked="0"/>
    </xf>
    <xf numFmtId="0" fontId="9" fillId="33" borderId="16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9" fillId="0" borderId="10" xfId="0" applyFont="1" applyBorder="1" applyAlignment="1" applyProtection="1">
      <alignment horizontal="center"/>
      <protection locked="0"/>
    </xf>
    <xf numFmtId="0" fontId="9" fillId="35" borderId="10" xfId="0" applyFont="1" applyFill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horizontal="left" wrapText="1"/>
      <protection locked="0"/>
    </xf>
    <xf numFmtId="0" fontId="9" fillId="0" borderId="18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wrapText="1"/>
      <protection locked="0"/>
    </xf>
    <xf numFmtId="0" fontId="9" fillId="0" borderId="19" xfId="0" applyFont="1" applyBorder="1" applyAlignment="1" applyProtection="1">
      <alignment wrapText="1"/>
      <protection locked="0"/>
    </xf>
    <xf numFmtId="0" fontId="9" fillId="34" borderId="12" xfId="0" applyFont="1" applyFill="1" applyBorder="1" applyAlignment="1" applyProtection="1">
      <alignment wrapText="1"/>
      <protection hidden="1"/>
    </xf>
    <xf numFmtId="0" fontId="9" fillId="34" borderId="10" xfId="0" applyFont="1" applyFill="1" applyBorder="1" applyAlignment="1" applyProtection="1">
      <alignment horizontal="center" wrapText="1"/>
      <protection hidden="1"/>
    </xf>
    <xf numFmtId="0" fontId="6" fillId="34" borderId="10" xfId="0" applyFont="1" applyFill="1" applyBorder="1" applyAlignment="1" applyProtection="1">
      <alignment wrapText="1"/>
      <protection hidden="1"/>
    </xf>
    <xf numFmtId="0" fontId="9" fillId="34" borderId="16" xfId="0" applyFont="1" applyFill="1" applyBorder="1" applyAlignment="1" applyProtection="1">
      <alignment horizontal="center" wrapText="1"/>
      <protection hidden="1"/>
    </xf>
    <xf numFmtId="0" fontId="6" fillId="36" borderId="16" xfId="0" applyFont="1" applyFill="1" applyBorder="1" applyAlignment="1" applyProtection="1">
      <alignment wrapText="1"/>
      <protection hidden="1"/>
    </xf>
    <xf numFmtId="0" fontId="6" fillId="0" borderId="17" xfId="0" applyFont="1" applyBorder="1" applyAlignment="1" applyProtection="1">
      <alignment wrapText="1"/>
      <protection locked="0"/>
    </xf>
    <xf numFmtId="0" fontId="6" fillId="36" borderId="10" xfId="0" applyFont="1" applyFill="1" applyBorder="1" applyAlignment="1" applyProtection="1">
      <alignment wrapText="1"/>
      <protection hidden="1"/>
    </xf>
    <xf numFmtId="0" fontId="9" fillId="36" borderId="10" xfId="0" applyFont="1" applyFill="1" applyBorder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 locked="0"/>
    </xf>
    <xf numFmtId="0" fontId="6" fillId="35" borderId="1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0" fontId="7" fillId="33" borderId="10" xfId="0" applyFont="1" applyFill="1" applyBorder="1" applyAlignment="1" applyProtection="1">
      <alignment horizontal="center" wrapText="1"/>
      <protection hidden="1"/>
    </xf>
    <xf numFmtId="0" fontId="7" fillId="33" borderId="10" xfId="0" applyFont="1" applyFill="1" applyBorder="1" applyAlignment="1" applyProtection="1">
      <alignment wrapText="1"/>
      <protection hidden="1"/>
    </xf>
    <xf numFmtId="0" fontId="7" fillId="34" borderId="10" xfId="0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 wrapText="1"/>
      <protection hidden="1"/>
    </xf>
    <xf numFmtId="0" fontId="7" fillId="0" borderId="10" xfId="0" applyFont="1" applyBorder="1" applyAlignment="1" applyProtection="1">
      <alignment horizontal="center" wrapText="1"/>
      <protection hidden="1"/>
    </xf>
    <xf numFmtId="0" fontId="7" fillId="0" borderId="10" xfId="0" applyFont="1" applyBorder="1" applyAlignment="1" applyProtection="1">
      <alignment/>
      <protection hidden="1" locked="0"/>
    </xf>
    <xf numFmtId="0" fontId="7" fillId="34" borderId="10" xfId="0" applyFont="1" applyFill="1" applyBorder="1" applyAlignment="1" applyProtection="1">
      <alignment wrapText="1"/>
      <protection hidden="1"/>
    </xf>
    <xf numFmtId="0" fontId="8" fillId="0" borderId="14" xfId="0" applyFont="1" applyBorder="1" applyAlignment="1" applyProtection="1">
      <alignment vertical="center" wrapText="1"/>
      <protection hidden="1" locked="0"/>
    </xf>
    <xf numFmtId="0" fontId="8" fillId="36" borderId="10" xfId="0" applyFont="1" applyFill="1" applyBorder="1" applyAlignment="1" applyProtection="1">
      <alignment horizontal="center" wrapText="1"/>
      <protection hidden="1"/>
    </xf>
    <xf numFmtId="0" fontId="8" fillId="36" borderId="10" xfId="0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 applyProtection="1">
      <alignment wrapText="1"/>
      <protection hidden="1"/>
    </xf>
    <xf numFmtId="0" fontId="9" fillId="33" borderId="16" xfId="0" applyFont="1" applyFill="1" applyBorder="1" applyAlignment="1" applyProtection="1">
      <alignment vertical="top" wrapText="1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 locked="0"/>
    </xf>
    <xf numFmtId="0" fontId="9" fillId="33" borderId="16" xfId="0" applyFont="1" applyFill="1" applyBorder="1" applyAlignment="1" applyProtection="1">
      <alignment wrapText="1"/>
      <protection hidden="1"/>
    </xf>
    <xf numFmtId="0" fontId="9" fillId="33" borderId="16" xfId="0" applyFont="1" applyFill="1" applyBorder="1" applyAlignment="1" applyProtection="1">
      <alignment horizontal="center" wrapText="1"/>
      <protection hidden="1"/>
    </xf>
    <xf numFmtId="0" fontId="9" fillId="0" borderId="20" xfId="0" applyFont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16" fillId="0" borderId="0" xfId="0" applyFont="1" applyAlignment="1" applyProtection="1">
      <alignment wrapText="1"/>
      <protection hidden="1"/>
    </xf>
    <xf numFmtId="0" fontId="6" fillId="0" borderId="19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/>
      <protection hidden="1"/>
    </xf>
    <xf numFmtId="0" fontId="15" fillId="33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/>
      <protection locked="0"/>
    </xf>
    <xf numFmtId="0" fontId="8" fillId="0" borderId="0" xfId="0" applyFont="1" applyAlignment="1">
      <alignment horizontal="center" wrapText="1"/>
    </xf>
    <xf numFmtId="0" fontId="6" fillId="34" borderId="0" xfId="0" applyFont="1" applyFill="1" applyAlignment="1" applyProtection="1">
      <alignment wrapText="1"/>
      <protection hidden="1"/>
    </xf>
    <xf numFmtId="0" fontId="6" fillId="36" borderId="0" xfId="0" applyFont="1" applyFill="1" applyAlignment="1" applyProtection="1">
      <alignment wrapText="1"/>
      <protection hidden="1"/>
    </xf>
    <xf numFmtId="0" fontId="6" fillId="0" borderId="15" xfId="0" applyFont="1" applyBorder="1" applyAlignment="1" applyProtection="1">
      <alignment/>
      <protection hidden="1"/>
    </xf>
    <xf numFmtId="0" fontId="9" fillId="33" borderId="16" xfId="0" applyFont="1" applyFill="1" applyBorder="1" applyAlignment="1" applyProtection="1">
      <alignment horizontal="center"/>
      <protection hidden="1" locked="0"/>
    </xf>
    <xf numFmtId="0" fontId="9" fillId="33" borderId="16" xfId="0" applyFont="1" applyFill="1" applyBorder="1" applyAlignment="1" applyProtection="1">
      <alignment horizontal="center" vertical="center"/>
      <protection hidden="1"/>
    </xf>
    <xf numFmtId="0" fontId="6" fillId="36" borderId="18" xfId="0" applyFont="1" applyFill="1" applyBorder="1" applyAlignment="1" applyProtection="1">
      <alignment wrapText="1"/>
      <protection hidden="1"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9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33" borderId="10" xfId="0" applyFont="1" applyFill="1" applyBorder="1" applyAlignment="1" applyProtection="1">
      <alignment horizontal="center" wrapText="1"/>
      <protection hidden="1" locked="0"/>
    </xf>
    <xf numFmtId="0" fontId="6" fillId="0" borderId="11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hidden="1" locked="0"/>
    </xf>
    <xf numFmtId="0" fontId="9" fillId="33" borderId="0" xfId="0" applyFont="1" applyFill="1" applyAlignment="1" applyProtection="1">
      <alignment horizontal="center" vertical="center" wrapText="1"/>
      <protection hidden="1" locked="0"/>
    </xf>
    <xf numFmtId="0" fontId="8" fillId="0" borderId="0" xfId="0" applyFont="1" applyBorder="1" applyAlignment="1" applyProtection="1">
      <alignment/>
      <protection hidden="1" locked="0"/>
    </xf>
    <xf numFmtId="0" fontId="8" fillId="0" borderId="0" xfId="0" applyFont="1" applyBorder="1" applyAlignment="1" applyProtection="1">
      <alignment/>
      <protection hidden="1" locked="0"/>
    </xf>
    <xf numFmtId="0" fontId="8" fillId="0" borderId="0" xfId="0" applyFont="1" applyBorder="1" applyAlignment="1" applyProtection="1">
      <alignment horizontal="center" wrapText="1"/>
      <protection hidden="1" locked="0"/>
    </xf>
    <xf numFmtId="0" fontId="6" fillId="0" borderId="0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hidden="1" locked="0"/>
    </xf>
    <xf numFmtId="0" fontId="9" fillId="0" borderId="15" xfId="0" applyFont="1" applyBorder="1" applyAlignment="1" applyProtection="1">
      <alignment wrapText="1"/>
      <protection locked="0"/>
    </xf>
    <xf numFmtId="0" fontId="9" fillId="36" borderId="22" xfId="0" applyFont="1" applyFill="1" applyBorder="1" applyAlignment="1" applyProtection="1">
      <alignment wrapText="1"/>
      <protection hidden="1"/>
    </xf>
    <xf numFmtId="0" fontId="9" fillId="0" borderId="23" xfId="0" applyFont="1" applyBorder="1" applyAlignment="1" applyProtection="1">
      <alignment wrapText="1"/>
      <protection locked="0"/>
    </xf>
    <xf numFmtId="0" fontId="9" fillId="0" borderId="15" xfId="0" applyFont="1" applyBorder="1" applyAlignment="1" applyProtection="1">
      <alignment/>
      <protection hidden="1"/>
    </xf>
    <xf numFmtId="0" fontId="6" fillId="34" borderId="15" xfId="0" applyFont="1" applyFill="1" applyBorder="1" applyAlignment="1" applyProtection="1">
      <alignment wrapText="1"/>
      <protection hidden="1"/>
    </xf>
    <xf numFmtId="0" fontId="6" fillId="36" borderId="15" xfId="0" applyFont="1" applyFill="1" applyBorder="1" applyAlignment="1" applyProtection="1">
      <alignment wrapText="1"/>
      <protection hidden="1"/>
    </xf>
    <xf numFmtId="0" fontId="6" fillId="0" borderId="24" xfId="0" applyFont="1" applyBorder="1" applyAlignment="1" applyProtection="1">
      <alignment/>
      <protection hidden="1"/>
    </xf>
    <xf numFmtId="0" fontId="8" fillId="0" borderId="0" xfId="0" applyFont="1" applyBorder="1" applyAlignment="1">
      <alignment wrapText="1"/>
    </xf>
    <xf numFmtId="0" fontId="9" fillId="34" borderId="16" xfId="0" applyFont="1" applyFill="1" applyBorder="1" applyAlignment="1" applyProtection="1">
      <alignment wrapText="1"/>
      <protection hidden="1"/>
    </xf>
    <xf numFmtId="0" fontId="6" fillId="34" borderId="16" xfId="0" applyFont="1" applyFill="1" applyBorder="1" applyAlignment="1" applyProtection="1">
      <alignment wrapText="1"/>
      <protection hidden="1"/>
    </xf>
    <xf numFmtId="0" fontId="6" fillId="0" borderId="12" xfId="0" applyFont="1" applyBorder="1" applyAlignment="1" applyProtection="1">
      <alignment/>
      <protection hidden="1"/>
    </xf>
    <xf numFmtId="0" fontId="9" fillId="34" borderId="18" xfId="0" applyFont="1" applyFill="1" applyBorder="1" applyAlignment="1" applyProtection="1">
      <alignment wrapText="1"/>
      <protection hidden="1"/>
    </xf>
    <xf numFmtId="0" fontId="6" fillId="0" borderId="15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hidden="1" locked="0"/>
    </xf>
    <xf numFmtId="0" fontId="9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18" fillId="0" borderId="10" xfId="0" applyFont="1" applyBorder="1" applyAlignment="1" applyProtection="1">
      <alignment wrapText="1"/>
      <protection locked="0"/>
    </xf>
    <xf numFmtId="0" fontId="18" fillId="0" borderId="11" xfId="0" applyFont="1" applyBorder="1" applyAlignment="1" applyProtection="1">
      <alignment wrapText="1"/>
      <protection locked="0"/>
    </xf>
    <xf numFmtId="0" fontId="9" fillId="37" borderId="10" xfId="0" applyFont="1" applyFill="1" applyBorder="1" applyAlignment="1" applyProtection="1">
      <alignment wrapText="1"/>
      <protection locked="0"/>
    </xf>
    <xf numFmtId="0" fontId="9" fillId="37" borderId="10" xfId="0" applyFont="1" applyFill="1" applyBorder="1" applyAlignment="1" applyProtection="1">
      <alignment horizontal="right" wrapText="1"/>
      <protection locked="0"/>
    </xf>
    <xf numFmtId="0" fontId="9" fillId="37" borderId="11" xfId="0" applyFont="1" applyFill="1" applyBorder="1" applyAlignment="1" applyProtection="1">
      <alignment wrapText="1"/>
      <protection locked="0"/>
    </xf>
    <xf numFmtId="0" fontId="6" fillId="37" borderId="10" xfId="0" applyFont="1" applyFill="1" applyBorder="1" applyAlignment="1" applyProtection="1">
      <alignment wrapText="1"/>
      <protection locked="0"/>
    </xf>
    <xf numFmtId="0" fontId="6" fillId="37" borderId="11" xfId="0" applyFont="1" applyFill="1" applyBorder="1" applyAlignment="1" applyProtection="1">
      <alignment wrapText="1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 applyProtection="1">
      <alignment horizontal="right" wrapText="1"/>
      <protection locked="0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1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/>
      <protection hidden="1"/>
    </xf>
    <xf numFmtId="0" fontId="9" fillId="36" borderId="10" xfId="0" applyFont="1" applyFill="1" applyBorder="1" applyAlignment="1" applyProtection="1">
      <alignment horizontal="center" wrapText="1"/>
      <protection hidden="1"/>
    </xf>
    <xf numFmtId="0" fontId="9" fillId="36" borderId="11" xfId="0" applyFont="1" applyFill="1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38" borderId="10" xfId="0" applyFont="1" applyFill="1" applyBorder="1" applyAlignment="1" applyProtection="1">
      <alignment/>
      <protection locked="0"/>
    </xf>
    <xf numFmtId="0" fontId="9" fillId="38" borderId="10" xfId="0" applyFont="1" applyFill="1" applyBorder="1" applyAlignment="1" applyProtection="1">
      <alignment wrapText="1"/>
      <protection locked="0"/>
    </xf>
    <xf numFmtId="0" fontId="9" fillId="38" borderId="11" xfId="0" applyFont="1" applyFill="1" applyBorder="1" applyAlignment="1" applyProtection="1">
      <alignment wrapText="1"/>
      <protection locked="0"/>
    </xf>
    <xf numFmtId="0" fontId="6" fillId="38" borderId="10" xfId="0" applyFont="1" applyFill="1" applyBorder="1" applyAlignment="1" applyProtection="1">
      <alignment wrapText="1"/>
      <protection locked="0"/>
    </xf>
    <xf numFmtId="0" fontId="6" fillId="38" borderId="10" xfId="0" applyFont="1" applyFill="1" applyBorder="1" applyAlignment="1" applyProtection="1">
      <alignment/>
      <protection locked="0"/>
    </xf>
    <xf numFmtId="0" fontId="6" fillId="38" borderId="11" xfId="0" applyFont="1" applyFill="1" applyBorder="1" applyAlignment="1" applyProtection="1">
      <alignment/>
      <protection locked="0"/>
    </xf>
    <xf numFmtId="0" fontId="9" fillId="38" borderId="16" xfId="0" applyFont="1" applyFill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/>
      <protection hidden="1"/>
    </xf>
    <xf numFmtId="0" fontId="7" fillId="39" borderId="10" xfId="0" applyFont="1" applyFill="1" applyBorder="1" applyAlignment="1" applyProtection="1">
      <alignment wrapText="1"/>
      <protection hidden="1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22" xfId="0" applyFont="1" applyFill="1" applyBorder="1" applyAlignment="1" applyProtection="1">
      <alignment horizontal="center" vertical="center" wrapText="1"/>
      <protection hidden="1"/>
    </xf>
    <xf numFmtId="0" fontId="9" fillId="33" borderId="20" xfId="0" applyFont="1" applyFill="1" applyBorder="1" applyAlignment="1" applyProtection="1">
      <alignment horizontal="center" vertical="center" wrapText="1"/>
      <protection hidden="1"/>
    </xf>
    <xf numFmtId="0" fontId="9" fillId="33" borderId="24" xfId="0" applyFont="1" applyFill="1" applyBorder="1" applyAlignment="1" applyProtection="1">
      <alignment horizontal="center" vertical="center" wrapText="1"/>
      <protection hidden="1"/>
    </xf>
    <xf numFmtId="0" fontId="9" fillId="33" borderId="19" xfId="0" applyFont="1" applyFill="1" applyBorder="1" applyAlignment="1" applyProtection="1">
      <alignment horizontal="center" vertical="center" wrapText="1"/>
      <protection hidden="1"/>
    </xf>
    <xf numFmtId="0" fontId="9" fillId="33" borderId="23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wrapText="1"/>
      <protection hidden="1" locked="0"/>
    </xf>
    <xf numFmtId="0" fontId="9" fillId="36" borderId="11" xfId="0" applyFont="1" applyFill="1" applyBorder="1" applyAlignment="1" applyProtection="1">
      <alignment horizontal="center" wrapText="1"/>
      <protection hidden="1"/>
    </xf>
    <xf numFmtId="0" fontId="9" fillId="36" borderId="12" xfId="0" applyFont="1" applyFill="1" applyBorder="1" applyAlignment="1" applyProtection="1">
      <alignment horizontal="center" wrapText="1"/>
      <protection hidden="1"/>
    </xf>
    <xf numFmtId="0" fontId="9" fillId="36" borderId="15" xfId="0" applyFont="1" applyFill="1" applyBorder="1" applyAlignment="1" applyProtection="1">
      <alignment horizontal="center" wrapText="1"/>
      <protection hidden="1"/>
    </xf>
    <xf numFmtId="0" fontId="9" fillId="33" borderId="14" xfId="0" applyFont="1" applyFill="1" applyBorder="1" applyAlignment="1" applyProtection="1">
      <alignment horizontal="center" vertical="center" wrapText="1"/>
      <protection hidden="1"/>
    </xf>
    <xf numFmtId="0" fontId="9" fillId="33" borderId="17" xfId="0" applyFont="1" applyFill="1" applyBorder="1" applyAlignment="1" applyProtection="1">
      <alignment horizontal="center" vertical="center" wrapText="1"/>
      <protection hidden="1"/>
    </xf>
    <xf numFmtId="0" fontId="9" fillId="33" borderId="21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0" fontId="9" fillId="33" borderId="25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right"/>
      <protection hidden="1" locked="0"/>
    </xf>
    <xf numFmtId="0" fontId="8" fillId="0" borderId="0" xfId="0" applyFont="1" applyBorder="1" applyAlignment="1" applyProtection="1">
      <alignment horizontal="center" wrapText="1"/>
      <protection hidden="1" locked="0"/>
    </xf>
    <xf numFmtId="0" fontId="9" fillId="33" borderId="18" xfId="0" applyFont="1" applyFill="1" applyBorder="1" applyAlignment="1" applyProtection="1">
      <alignment horizontal="center" vertical="top" textRotation="88" wrapText="1"/>
      <protection hidden="1"/>
    </xf>
    <xf numFmtId="0" fontId="9" fillId="33" borderId="20" xfId="0" applyFont="1" applyFill="1" applyBorder="1" applyAlignment="1" applyProtection="1">
      <alignment horizontal="center" vertical="top" textRotation="88" wrapText="1"/>
      <protection hidden="1"/>
    </xf>
    <xf numFmtId="0" fontId="9" fillId="33" borderId="19" xfId="0" applyFont="1" applyFill="1" applyBorder="1" applyAlignment="1" applyProtection="1">
      <alignment horizontal="center" vertical="top" textRotation="88" wrapText="1"/>
      <protection hidden="1"/>
    </xf>
    <xf numFmtId="0" fontId="9" fillId="33" borderId="25" xfId="0" applyFont="1" applyFill="1" applyBorder="1" applyAlignment="1" applyProtection="1">
      <alignment horizontal="center" textRotation="90" wrapText="1"/>
      <protection hidden="1"/>
    </xf>
    <xf numFmtId="0" fontId="9" fillId="33" borderId="17" xfId="0" applyFont="1" applyFill="1" applyBorder="1" applyAlignment="1" applyProtection="1">
      <alignment horizontal="center" textRotation="90" wrapText="1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33" borderId="16" xfId="0" applyFont="1" applyFill="1" applyBorder="1" applyAlignment="1" applyProtection="1">
      <alignment horizontal="center" textRotation="90" wrapText="1"/>
      <protection hidden="1"/>
    </xf>
    <xf numFmtId="0" fontId="9" fillId="33" borderId="10" xfId="0" applyFont="1" applyFill="1" applyBorder="1" applyAlignment="1" applyProtection="1">
      <alignment horizontal="center" vertical="top"/>
      <protection hidden="1"/>
    </xf>
    <xf numFmtId="0" fontId="9" fillId="33" borderId="11" xfId="0" applyFont="1" applyFill="1" applyBorder="1" applyAlignment="1" applyProtection="1">
      <alignment horizontal="right" vertical="top"/>
      <protection hidden="1"/>
    </xf>
    <xf numFmtId="0" fontId="9" fillId="33" borderId="12" xfId="0" applyFont="1" applyFill="1" applyBorder="1" applyAlignment="1" applyProtection="1">
      <alignment horizontal="right" vertical="top"/>
      <protection hidden="1"/>
    </xf>
    <xf numFmtId="0" fontId="9" fillId="33" borderId="15" xfId="0" applyFont="1" applyFill="1" applyBorder="1" applyAlignment="1" applyProtection="1">
      <alignment horizontal="right" vertical="top"/>
      <protection hidden="1"/>
    </xf>
    <xf numFmtId="0" fontId="9" fillId="33" borderId="16" xfId="0" applyFont="1" applyFill="1" applyBorder="1" applyAlignment="1" applyProtection="1">
      <alignment horizontal="center" vertical="top" textRotation="88"/>
      <protection hidden="1"/>
    </xf>
    <xf numFmtId="0" fontId="9" fillId="33" borderId="25" xfId="0" applyFont="1" applyFill="1" applyBorder="1" applyAlignment="1" applyProtection="1">
      <alignment horizontal="center" vertical="top" textRotation="88"/>
      <protection hidden="1"/>
    </xf>
    <xf numFmtId="0" fontId="9" fillId="33" borderId="17" xfId="0" applyFont="1" applyFill="1" applyBorder="1" applyAlignment="1" applyProtection="1">
      <alignment horizontal="center" vertical="top" textRotation="88"/>
      <protection hidden="1"/>
    </xf>
    <xf numFmtId="0" fontId="9" fillId="33" borderId="16" xfId="0" applyFont="1" applyFill="1" applyBorder="1" applyAlignment="1" applyProtection="1">
      <alignment horizontal="center" vertical="center" wrapText="1"/>
      <protection hidden="1" locked="0"/>
    </xf>
    <xf numFmtId="0" fontId="9" fillId="33" borderId="25" xfId="0" applyFont="1" applyFill="1" applyBorder="1" applyAlignment="1" applyProtection="1">
      <alignment horizontal="center" vertical="center" wrapText="1"/>
      <protection hidden="1" locked="0"/>
    </xf>
    <xf numFmtId="0" fontId="9" fillId="33" borderId="17" xfId="0" applyFont="1" applyFill="1" applyBorder="1" applyAlignment="1" applyProtection="1">
      <alignment horizontal="center" vertical="center" wrapText="1"/>
      <protection hidden="1" locked="0"/>
    </xf>
    <xf numFmtId="0" fontId="9" fillId="34" borderId="18" xfId="0" applyFont="1" applyFill="1" applyBorder="1" applyAlignment="1" applyProtection="1">
      <alignment horizontal="right" wrapText="1"/>
      <protection hidden="1"/>
    </xf>
    <xf numFmtId="0" fontId="9" fillId="34" borderId="22" xfId="0" applyFont="1" applyFill="1" applyBorder="1" applyAlignment="1" applyProtection="1">
      <alignment horizontal="right" wrapText="1"/>
      <protection hidden="1"/>
    </xf>
    <xf numFmtId="0" fontId="9" fillId="33" borderId="10" xfId="0" applyFont="1" applyFill="1" applyBorder="1" applyAlignment="1" applyProtection="1">
      <alignment horizontal="center" wrapText="1"/>
      <protection hidden="1"/>
    </xf>
    <xf numFmtId="0" fontId="9" fillId="33" borderId="16" xfId="0" applyFont="1" applyFill="1" applyBorder="1" applyAlignment="1" applyProtection="1">
      <alignment horizontal="center" wrapText="1"/>
      <protection hidden="1"/>
    </xf>
    <xf numFmtId="0" fontId="9" fillId="33" borderId="25" xfId="0" applyFont="1" applyFill="1" applyBorder="1" applyAlignment="1" applyProtection="1">
      <alignment horizontal="center" wrapText="1"/>
      <protection hidden="1"/>
    </xf>
    <xf numFmtId="0" fontId="9" fillId="33" borderId="17" xfId="0" applyFont="1" applyFill="1" applyBorder="1" applyAlignment="1" applyProtection="1">
      <alignment horizontal="center" wrapText="1"/>
      <protection hidden="1"/>
    </xf>
    <xf numFmtId="0" fontId="9" fillId="33" borderId="16" xfId="0" applyFont="1" applyFill="1" applyBorder="1" applyAlignment="1" applyProtection="1">
      <alignment horizontal="center" textRotation="90" wrapText="1"/>
      <protection hidden="1" locked="0"/>
    </xf>
    <xf numFmtId="0" fontId="9" fillId="33" borderId="25" xfId="0" applyFont="1" applyFill="1" applyBorder="1" applyAlignment="1" applyProtection="1">
      <alignment horizontal="center" textRotation="90" wrapText="1"/>
      <protection hidden="1" locked="0"/>
    </xf>
    <xf numFmtId="0" fontId="9" fillId="33" borderId="17" xfId="0" applyFont="1" applyFill="1" applyBorder="1" applyAlignment="1" applyProtection="1">
      <alignment horizontal="center" textRotation="90" wrapText="1"/>
      <protection hidden="1" locked="0"/>
    </xf>
    <xf numFmtId="0" fontId="9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33" borderId="10" xfId="0" applyFont="1" applyFill="1" applyBorder="1" applyAlignment="1" applyProtection="1">
      <alignment horizontal="center" vertical="top" wrapText="1"/>
      <protection hidden="1" locked="0"/>
    </xf>
    <xf numFmtId="0" fontId="8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33" borderId="16" xfId="0" applyFont="1" applyFill="1" applyBorder="1" applyAlignment="1" applyProtection="1">
      <alignment horizontal="center" vertical="center" wrapText="1"/>
      <protection hidden="1"/>
    </xf>
    <xf numFmtId="0" fontId="9" fillId="34" borderId="11" xfId="0" applyFont="1" applyFill="1" applyBorder="1" applyAlignment="1" applyProtection="1">
      <alignment horizontal="right" wrapText="1"/>
      <protection hidden="1"/>
    </xf>
    <xf numFmtId="0" fontId="9" fillId="34" borderId="15" xfId="0" applyFont="1" applyFill="1" applyBorder="1" applyAlignment="1" applyProtection="1">
      <alignment horizontal="right" wrapText="1"/>
      <protection hidden="1"/>
    </xf>
    <xf numFmtId="0" fontId="9" fillId="33" borderId="16" xfId="0" applyFont="1" applyFill="1" applyBorder="1" applyAlignment="1" applyProtection="1">
      <alignment horizontal="center" wrapText="1"/>
      <protection hidden="1" locked="0"/>
    </xf>
    <xf numFmtId="0" fontId="9" fillId="33" borderId="17" xfId="0" applyFont="1" applyFill="1" applyBorder="1" applyAlignment="1" applyProtection="1">
      <alignment horizontal="center" wrapText="1"/>
      <protection hidden="1" locked="0"/>
    </xf>
    <xf numFmtId="0" fontId="9" fillId="33" borderId="10" xfId="0" applyFont="1" applyFill="1" applyBorder="1" applyAlignment="1" applyProtection="1">
      <alignment horizontal="center" vertical="top" wrapText="1"/>
      <protection hidden="1"/>
    </xf>
    <xf numFmtId="0" fontId="9" fillId="33" borderId="19" xfId="0" applyFont="1" applyFill="1" applyBorder="1" applyAlignment="1" applyProtection="1">
      <alignment horizontal="center" wrapText="1"/>
      <protection hidden="1"/>
    </xf>
    <xf numFmtId="0" fontId="9" fillId="33" borderId="14" xfId="0" applyFont="1" applyFill="1" applyBorder="1" applyAlignment="1" applyProtection="1">
      <alignment horizontal="center" wrapText="1"/>
      <protection hidden="1"/>
    </xf>
    <xf numFmtId="0" fontId="9" fillId="33" borderId="11" xfId="0" applyFont="1" applyFill="1" applyBorder="1" applyAlignment="1" applyProtection="1">
      <alignment horizontal="center" wrapText="1"/>
      <protection hidden="1"/>
    </xf>
    <xf numFmtId="0" fontId="9" fillId="33" borderId="15" xfId="0" applyFont="1" applyFill="1" applyBorder="1" applyAlignment="1" applyProtection="1">
      <alignment horizontal="center" wrapText="1"/>
      <protection hidden="1"/>
    </xf>
    <xf numFmtId="0" fontId="8" fillId="0" borderId="14" xfId="0" applyFont="1" applyBorder="1" applyAlignment="1" applyProtection="1">
      <alignment horizontal="left" vertical="center" wrapText="1"/>
      <protection hidden="1" locked="0"/>
    </xf>
    <xf numFmtId="0" fontId="15" fillId="33" borderId="16" xfId="0" applyFont="1" applyFill="1" applyBorder="1" applyAlignment="1" applyProtection="1">
      <alignment horizontal="center" wrapText="1"/>
      <protection hidden="1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15" fillId="33" borderId="16" xfId="0" applyFont="1" applyFill="1" applyBorder="1" applyAlignment="1" applyProtection="1">
      <alignment horizontal="center" vertical="center" wrapText="1"/>
      <protection hidden="1"/>
    </xf>
    <xf numFmtId="0" fontId="15" fillId="33" borderId="25" xfId="0" applyFont="1" applyFill="1" applyBorder="1" applyAlignment="1" applyProtection="1">
      <alignment horizontal="center" vertical="center" wrapText="1"/>
      <protection hidden="1"/>
    </xf>
    <xf numFmtId="0" fontId="15" fillId="33" borderId="17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center" vertical="center" wrapText="1"/>
      <protection hidden="1"/>
    </xf>
    <xf numFmtId="0" fontId="9" fillId="33" borderId="15" xfId="0" applyFont="1" applyFill="1" applyBorder="1" applyAlignment="1" applyProtection="1">
      <alignment horizontal="center" vertical="center" wrapText="1"/>
      <protection hidden="1"/>
    </xf>
    <xf numFmtId="0" fontId="8" fillId="36" borderId="11" xfId="0" applyFont="1" applyFill="1" applyBorder="1" applyAlignment="1" applyProtection="1">
      <alignment horizontal="center" wrapText="1"/>
      <protection hidden="1"/>
    </xf>
    <xf numFmtId="0" fontId="8" fillId="36" borderId="15" xfId="0" applyFont="1" applyFill="1" applyBorder="1" applyAlignment="1" applyProtection="1">
      <alignment horizontal="center" wrapText="1"/>
      <protection hidden="1"/>
    </xf>
    <xf numFmtId="0" fontId="8" fillId="36" borderId="12" xfId="0" applyFont="1" applyFill="1" applyBorder="1" applyAlignment="1" applyProtection="1">
      <alignment horizontal="center" wrapText="1"/>
      <protection hidden="1"/>
    </xf>
    <xf numFmtId="0" fontId="7" fillId="33" borderId="10" xfId="0" applyFont="1" applyFill="1" applyBorder="1" applyAlignment="1" applyProtection="1">
      <alignment horizontal="center" wrapText="1"/>
      <protection hidden="1"/>
    </xf>
    <xf numFmtId="0" fontId="7" fillId="33" borderId="10" xfId="0" applyFont="1" applyFill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15" xfId="0" applyFont="1" applyBorder="1" applyAlignment="1" applyProtection="1">
      <alignment horizontal="center" wrapText="1"/>
      <protection hidden="1"/>
    </xf>
    <xf numFmtId="0" fontId="9" fillId="39" borderId="10" xfId="0" applyFont="1" applyFill="1" applyBorder="1" applyAlignment="1" applyProtection="1">
      <alignment horizontal="center"/>
      <protection locked="0"/>
    </xf>
    <xf numFmtId="0" fontId="9" fillId="39" borderId="10" xfId="0" applyFont="1" applyFill="1" applyBorder="1" applyAlignment="1" applyProtection="1">
      <alignment horizontal="left" wrapText="1"/>
      <protection locked="0"/>
    </xf>
    <xf numFmtId="0" fontId="9" fillId="39" borderId="16" xfId="0" applyFont="1" applyFill="1" applyBorder="1" applyAlignment="1" applyProtection="1">
      <alignment horizontal="left" wrapText="1"/>
      <protection locked="0"/>
    </xf>
    <xf numFmtId="0" fontId="9" fillId="39" borderId="18" xfId="0" applyFont="1" applyFill="1" applyBorder="1" applyAlignment="1" applyProtection="1">
      <alignment horizontal="left" wrapText="1"/>
      <protection locked="0"/>
    </xf>
    <xf numFmtId="0" fontId="6" fillId="39" borderId="10" xfId="0" applyFont="1" applyFill="1" applyBorder="1" applyAlignment="1" applyProtection="1">
      <alignment wrapText="1"/>
      <protection locked="0"/>
    </xf>
    <xf numFmtId="0" fontId="6" fillId="39" borderId="11" xfId="0" applyFont="1" applyFill="1" applyBorder="1" applyAlignment="1" applyProtection="1">
      <alignment wrapText="1"/>
      <protection locked="0"/>
    </xf>
    <xf numFmtId="0" fontId="6" fillId="39" borderId="10" xfId="0" applyFont="1" applyFill="1" applyBorder="1" applyAlignment="1" applyProtection="1">
      <alignment/>
      <protection locked="0"/>
    </xf>
    <xf numFmtId="0" fontId="6" fillId="39" borderId="11" xfId="0" applyFont="1" applyFill="1" applyBorder="1" applyAlignment="1" applyProtection="1">
      <alignment/>
      <protection locked="0"/>
    </xf>
    <xf numFmtId="0" fontId="9" fillId="39" borderId="10" xfId="0" applyFont="1" applyFill="1" applyBorder="1" applyAlignment="1" applyProtection="1">
      <alignment/>
      <protection locked="0"/>
    </xf>
    <xf numFmtId="0" fontId="6" fillId="39" borderId="0" xfId="0" applyFont="1" applyFill="1" applyAlignment="1" applyProtection="1">
      <alignment/>
      <protection locked="0"/>
    </xf>
    <xf numFmtId="0" fontId="4" fillId="39" borderId="10" xfId="0" applyFont="1" applyFill="1" applyBorder="1" applyAlignment="1" applyProtection="1">
      <alignment horizontal="right" wrapText="1"/>
      <protection locked="0"/>
    </xf>
    <xf numFmtId="0" fontId="4" fillId="39" borderId="10" xfId="0" applyFont="1" applyFill="1" applyBorder="1" applyAlignment="1" applyProtection="1">
      <alignment horizontal="center" wrapText="1"/>
      <protection locked="0"/>
    </xf>
    <xf numFmtId="0" fontId="4" fillId="39" borderId="10" xfId="0" applyFont="1" applyFill="1" applyBorder="1" applyAlignment="1" applyProtection="1">
      <alignment horizontal="left" wrapText="1"/>
      <protection locked="0"/>
    </xf>
    <xf numFmtId="0" fontId="4" fillId="39" borderId="11" xfId="0" applyFont="1" applyFill="1" applyBorder="1" applyAlignment="1" applyProtection="1">
      <alignment horizontal="left" wrapText="1"/>
      <protection locked="0"/>
    </xf>
    <xf numFmtId="0" fontId="18" fillId="39" borderId="10" xfId="0" applyFont="1" applyFill="1" applyBorder="1" applyAlignment="1" applyProtection="1">
      <alignment wrapText="1"/>
      <protection locked="0"/>
    </xf>
    <xf numFmtId="0" fontId="18" fillId="39" borderId="11" xfId="0" applyFont="1" applyFill="1" applyBorder="1" applyAlignment="1" applyProtection="1">
      <alignment wrapText="1"/>
      <protection locked="0"/>
    </xf>
    <xf numFmtId="0" fontId="6" fillId="39" borderId="10" xfId="0" applyFont="1" applyFill="1" applyBorder="1" applyAlignment="1" applyProtection="1">
      <alignment/>
      <protection hidden="1"/>
    </xf>
    <xf numFmtId="0" fontId="9" fillId="39" borderId="10" xfId="0" applyFont="1" applyFill="1" applyBorder="1" applyAlignment="1" applyProtection="1">
      <alignment/>
      <protection hidden="1"/>
    </xf>
    <xf numFmtId="0" fontId="6" fillId="39" borderId="0" xfId="0" applyFont="1" applyFill="1" applyAlignment="1" applyProtection="1">
      <alignment/>
      <protection hidden="1"/>
    </xf>
    <xf numFmtId="0" fontId="9" fillId="39" borderId="10" xfId="0" applyFont="1" applyFill="1" applyBorder="1" applyAlignment="1" applyProtection="1">
      <alignment wrapText="1"/>
      <protection locked="0"/>
    </xf>
    <xf numFmtId="0" fontId="9" fillId="39" borderId="10" xfId="0" applyFont="1" applyFill="1" applyBorder="1" applyAlignment="1" applyProtection="1">
      <alignment horizontal="right" wrapText="1"/>
      <protection locked="0"/>
    </xf>
    <xf numFmtId="0" fontId="9" fillId="39" borderId="11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126"/>
  <sheetViews>
    <sheetView tabSelected="1" view="pageBreakPreview" zoomScaleSheetLayoutView="100" zoomScalePageLayoutView="0" workbookViewId="0" topLeftCell="A1">
      <pane xSplit="6" ySplit="11" topLeftCell="K115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S116" sqref="S116"/>
    </sheetView>
  </sheetViews>
  <sheetFormatPr defaultColWidth="9.140625" defaultRowHeight="15"/>
  <cols>
    <col min="1" max="1" width="4.57421875" style="6" customWidth="1"/>
    <col min="2" max="2" width="15.28125" style="6" customWidth="1"/>
    <col min="3" max="3" width="20.140625" style="6" customWidth="1"/>
    <col min="4" max="4" width="13.57421875" style="6" customWidth="1"/>
    <col min="5" max="5" width="12.421875" style="6" customWidth="1"/>
    <col min="6" max="6" width="15.57421875" style="6" customWidth="1"/>
    <col min="7" max="7" width="13.7109375" style="6" customWidth="1"/>
    <col min="8" max="8" width="13.421875" style="6" customWidth="1"/>
    <col min="9" max="9" width="12.7109375" style="6" customWidth="1"/>
    <col min="10" max="10" width="13.28125" style="6" customWidth="1"/>
    <col min="11" max="11" width="14.28125" style="6" customWidth="1"/>
    <col min="12" max="12" width="13.421875" style="6" customWidth="1"/>
    <col min="13" max="13" width="4.421875" style="6" customWidth="1"/>
    <col min="14" max="14" width="7.28125" style="6" customWidth="1"/>
    <col min="15" max="15" width="4.8515625" style="6" customWidth="1"/>
    <col min="16" max="16" width="4.421875" style="6" customWidth="1"/>
    <col min="17" max="17" width="5.7109375" style="6" customWidth="1"/>
    <col min="18" max="18" width="6.7109375" style="6" customWidth="1"/>
    <col min="19" max="19" width="13.7109375" style="6" customWidth="1"/>
    <col min="20" max="20" width="6.57421875" style="6" customWidth="1"/>
    <col min="21" max="21" width="12.57421875" style="6" customWidth="1"/>
    <col min="22" max="22" width="8.7109375" style="6" customWidth="1"/>
    <col min="23" max="23" width="7.00390625" style="6" customWidth="1"/>
    <col min="24" max="24" width="7.8515625" style="6" customWidth="1"/>
    <col min="25" max="25" width="9.140625" style="6" customWidth="1"/>
    <col min="26" max="26" width="14.00390625" style="6" customWidth="1"/>
    <col min="27" max="27" width="12.8515625" style="6" customWidth="1"/>
    <col min="28" max="28" width="14.7109375" style="6" customWidth="1"/>
    <col min="29" max="29" width="19.7109375" style="6" customWidth="1"/>
    <col min="30" max="30" width="22.140625" style="6" customWidth="1"/>
    <col min="31" max="31" width="11.140625" style="6" customWidth="1"/>
    <col min="32" max="32" width="10.00390625" style="6" customWidth="1"/>
    <col min="33" max="33" width="13.7109375" style="6" customWidth="1"/>
    <col min="34" max="34" width="22.8515625" style="6" customWidth="1"/>
    <col min="35" max="16384" width="9.140625" style="6" customWidth="1"/>
  </cols>
  <sheetData>
    <row r="1" spans="1:28" ht="18.75">
      <c r="A1" s="12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  <c r="R1" s="116"/>
      <c r="S1" s="116"/>
      <c r="T1" s="116"/>
      <c r="U1" s="184" t="s">
        <v>0</v>
      </c>
      <c r="V1" s="184"/>
      <c r="W1" s="184"/>
      <c r="X1" s="184"/>
      <c r="Y1" s="184"/>
      <c r="Z1" s="184"/>
      <c r="AA1" s="184"/>
      <c r="AB1" s="184"/>
    </row>
    <row r="2" spans="1:28" ht="18" customHeight="1">
      <c r="A2" s="12"/>
      <c r="B2" s="185" t="s">
        <v>20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2"/>
      <c r="Z2" s="12"/>
      <c r="AA2" s="12"/>
      <c r="AB2" s="12"/>
    </row>
    <row r="3" spans="1:28" ht="18" customHeight="1">
      <c r="A3" s="12"/>
      <c r="B3" s="117"/>
      <c r="C3" s="117"/>
      <c r="D3" s="117"/>
      <c r="E3" s="117"/>
      <c r="F3" s="172"/>
      <c r="G3" s="172"/>
      <c r="H3" s="172"/>
      <c r="I3" s="172"/>
      <c r="J3" s="172"/>
      <c r="K3" s="172"/>
      <c r="L3" s="172"/>
      <c r="M3" s="172"/>
      <c r="N3" s="172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2"/>
      <c r="Z3" s="12"/>
      <c r="AA3" s="12"/>
      <c r="AB3" s="12"/>
    </row>
    <row r="4" spans="1:28" s="3" customFormat="1" ht="19.5" customHeight="1">
      <c r="A4" s="118"/>
      <c r="B4" s="181" t="s">
        <v>206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18"/>
      <c r="Z4" s="118"/>
      <c r="AA4" s="118"/>
      <c r="AB4" s="118"/>
    </row>
    <row r="5" spans="2:24" s="119" customFormat="1" ht="18.75" customHeight="1">
      <c r="B5" s="180" t="s">
        <v>214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</row>
    <row r="6" spans="1:34" ht="45" customHeight="1">
      <c r="A6" s="183" t="s">
        <v>1</v>
      </c>
      <c r="B6" s="183" t="s">
        <v>190</v>
      </c>
      <c r="C6" s="183" t="s">
        <v>69</v>
      </c>
      <c r="D6" s="183" t="s">
        <v>81</v>
      </c>
      <c r="E6" s="183" t="s">
        <v>167</v>
      </c>
      <c r="F6" s="183" t="s">
        <v>70</v>
      </c>
      <c r="G6" s="183" t="s">
        <v>72</v>
      </c>
      <c r="H6" s="183" t="s">
        <v>170</v>
      </c>
      <c r="I6" s="183" t="s">
        <v>168</v>
      </c>
      <c r="J6" s="183" t="s">
        <v>71</v>
      </c>
      <c r="K6" s="183" t="s">
        <v>212</v>
      </c>
      <c r="L6" s="183" t="s">
        <v>2</v>
      </c>
      <c r="M6" s="189" t="s">
        <v>79</v>
      </c>
      <c r="N6" s="189" t="s">
        <v>169</v>
      </c>
      <c r="O6" s="170" t="s">
        <v>3</v>
      </c>
      <c r="P6" s="176"/>
      <c r="Q6" s="170" t="s">
        <v>177</v>
      </c>
      <c r="R6" s="176"/>
      <c r="S6" s="177" t="s">
        <v>4</v>
      </c>
      <c r="T6" s="177"/>
      <c r="U6" s="177"/>
      <c r="V6" s="177"/>
      <c r="W6" s="177"/>
      <c r="X6" s="177"/>
      <c r="Y6" s="177" t="s">
        <v>76</v>
      </c>
      <c r="Z6" s="183" t="s">
        <v>77</v>
      </c>
      <c r="AA6" s="177" t="s">
        <v>78</v>
      </c>
      <c r="AB6" s="183" t="s">
        <v>198</v>
      </c>
      <c r="AC6" s="166" t="s">
        <v>199</v>
      </c>
      <c r="AD6" s="167"/>
      <c r="AE6" s="166" t="s">
        <v>209</v>
      </c>
      <c r="AF6" s="178"/>
      <c r="AG6" s="178"/>
      <c r="AH6" s="178"/>
    </row>
    <row r="7" spans="1:34" ht="18.7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9"/>
      <c r="N7" s="189"/>
      <c r="O7" s="192" t="s">
        <v>10</v>
      </c>
      <c r="P7" s="192" t="s">
        <v>11</v>
      </c>
      <c r="Q7" s="197" t="s">
        <v>7</v>
      </c>
      <c r="R7" s="186" t="s">
        <v>9</v>
      </c>
      <c r="S7" s="194" t="s">
        <v>5</v>
      </c>
      <c r="T7" s="195"/>
      <c r="U7" s="196"/>
      <c r="V7" s="193" t="s">
        <v>6</v>
      </c>
      <c r="W7" s="193"/>
      <c r="X7" s="193"/>
      <c r="Y7" s="182"/>
      <c r="Z7" s="183"/>
      <c r="AA7" s="182"/>
      <c r="AB7" s="183"/>
      <c r="AC7" s="168"/>
      <c r="AD7" s="169"/>
      <c r="AE7" s="168"/>
      <c r="AF7" s="179"/>
      <c r="AG7" s="179"/>
      <c r="AH7" s="179"/>
    </row>
    <row r="8" spans="1:34" ht="18.75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9"/>
      <c r="N8" s="189"/>
      <c r="O8" s="189"/>
      <c r="P8" s="189"/>
      <c r="Q8" s="198"/>
      <c r="R8" s="187"/>
      <c r="S8" s="193" t="s">
        <v>7</v>
      </c>
      <c r="T8" s="193" t="s">
        <v>8</v>
      </c>
      <c r="U8" s="193"/>
      <c r="V8" s="193" t="s">
        <v>7</v>
      </c>
      <c r="W8" s="193" t="s">
        <v>8</v>
      </c>
      <c r="X8" s="193"/>
      <c r="Y8" s="182"/>
      <c r="Z8" s="183"/>
      <c r="AA8" s="182"/>
      <c r="AB8" s="183"/>
      <c r="AC8" s="170"/>
      <c r="AD8" s="171"/>
      <c r="AE8" s="170"/>
      <c r="AF8" s="176"/>
      <c r="AG8" s="176"/>
      <c r="AH8" s="176"/>
    </row>
    <row r="9" spans="1:34" ht="54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90"/>
      <c r="N9" s="190"/>
      <c r="O9" s="190"/>
      <c r="P9" s="190"/>
      <c r="Q9" s="199"/>
      <c r="R9" s="188"/>
      <c r="S9" s="193"/>
      <c r="T9" s="85" t="s">
        <v>73</v>
      </c>
      <c r="U9" s="85" t="s">
        <v>74</v>
      </c>
      <c r="V9" s="193"/>
      <c r="W9" s="85" t="s">
        <v>73</v>
      </c>
      <c r="X9" s="85" t="s">
        <v>74</v>
      </c>
      <c r="Y9" s="182"/>
      <c r="Z9" s="183"/>
      <c r="AA9" s="182"/>
      <c r="AB9" s="177"/>
      <c r="AC9" s="98" t="s">
        <v>200</v>
      </c>
      <c r="AD9" s="98" t="s">
        <v>201</v>
      </c>
      <c r="AE9" s="110" t="s">
        <v>202</v>
      </c>
      <c r="AF9" s="114" t="s">
        <v>204</v>
      </c>
      <c r="AG9" s="110" t="s">
        <v>205</v>
      </c>
      <c r="AH9" s="111" t="s">
        <v>203</v>
      </c>
    </row>
    <row r="10" spans="1:34" s="89" customFormat="1" ht="18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5">
        <v>28</v>
      </c>
      <c r="AC10" s="15">
        <v>29</v>
      </c>
      <c r="AD10" s="15">
        <v>30</v>
      </c>
      <c r="AE10" s="15">
        <v>31</v>
      </c>
      <c r="AF10" s="15">
        <v>32</v>
      </c>
      <c r="AG10" s="15">
        <v>33</v>
      </c>
      <c r="AH10" s="15">
        <v>34</v>
      </c>
    </row>
    <row r="11" spans="1:34" s="21" customFormat="1" ht="18.75">
      <c r="A11" s="86" t="s">
        <v>12</v>
      </c>
      <c r="B11" s="86"/>
      <c r="C11" s="87" t="s">
        <v>13</v>
      </c>
      <c r="D11" s="88"/>
      <c r="E11" s="88" t="s">
        <v>13</v>
      </c>
      <c r="F11" s="88"/>
      <c r="G11" s="88"/>
      <c r="H11" s="88" t="s">
        <v>13</v>
      </c>
      <c r="I11" s="88"/>
      <c r="J11" s="88"/>
      <c r="K11" s="88"/>
      <c r="L11" s="88" t="s">
        <v>13</v>
      </c>
      <c r="M11" s="88"/>
      <c r="N11" s="88"/>
      <c r="O11" s="88"/>
      <c r="P11" s="88"/>
      <c r="Q11" s="88"/>
      <c r="R11" s="19"/>
      <c r="S11" s="19" t="s">
        <v>13</v>
      </c>
      <c r="T11" s="19"/>
      <c r="U11" s="19"/>
      <c r="V11" s="19"/>
      <c r="W11" s="19"/>
      <c r="X11" s="191"/>
      <c r="Y11" s="191"/>
      <c r="Z11" s="20" t="s">
        <v>13</v>
      </c>
      <c r="AE11" s="26"/>
      <c r="AF11" s="26"/>
      <c r="AG11" s="26"/>
      <c r="AH11" s="26"/>
    </row>
    <row r="12" spans="1:34" s="3" customFormat="1" ht="63.75">
      <c r="A12" s="4">
        <v>1</v>
      </c>
      <c r="B12" s="4" t="s">
        <v>218</v>
      </c>
      <c r="C12" s="5" t="s">
        <v>219</v>
      </c>
      <c r="D12" s="5" t="s">
        <v>220</v>
      </c>
      <c r="E12" s="5" t="s">
        <v>221</v>
      </c>
      <c r="F12" s="5" t="s">
        <v>222</v>
      </c>
      <c r="G12" s="5" t="s">
        <v>223</v>
      </c>
      <c r="H12" s="5" t="s">
        <v>224</v>
      </c>
      <c r="I12" s="5" t="s">
        <v>225</v>
      </c>
      <c r="J12" s="5" t="s">
        <v>226</v>
      </c>
      <c r="K12" s="5" t="s">
        <v>227</v>
      </c>
      <c r="L12" s="5" t="s">
        <v>228</v>
      </c>
      <c r="M12" s="5"/>
      <c r="N12" s="5" t="s">
        <v>229</v>
      </c>
      <c r="O12" s="5"/>
      <c r="P12" s="5" t="s">
        <v>229</v>
      </c>
      <c r="Q12" s="5">
        <v>4</v>
      </c>
      <c r="R12" s="5">
        <v>4</v>
      </c>
      <c r="S12" s="5">
        <v>114.27</v>
      </c>
      <c r="T12" s="5">
        <v>114.27</v>
      </c>
      <c r="U12" s="5"/>
      <c r="V12" s="5">
        <v>78.65</v>
      </c>
      <c r="W12" s="5">
        <v>78.65</v>
      </c>
      <c r="X12" s="5"/>
      <c r="Y12" s="53" t="s">
        <v>230</v>
      </c>
      <c r="Z12" s="53" t="s">
        <v>231</v>
      </c>
      <c r="AA12" s="53" t="s">
        <v>232</v>
      </c>
      <c r="AB12" s="53" t="s">
        <v>229</v>
      </c>
      <c r="AC12" s="99">
        <v>120</v>
      </c>
      <c r="AD12" s="112"/>
      <c r="AE12" s="99" t="s">
        <v>229</v>
      </c>
      <c r="AF12" s="99" t="s">
        <v>229</v>
      </c>
      <c r="AG12" s="99"/>
      <c r="AH12" s="99"/>
    </row>
    <row r="13" spans="1:34" s="3" customFormat="1" ht="63.75">
      <c r="A13" s="4">
        <v>2</v>
      </c>
      <c r="B13" s="4" t="s">
        <v>218</v>
      </c>
      <c r="C13" s="5" t="s">
        <v>233</v>
      </c>
      <c r="D13" s="5" t="s">
        <v>234</v>
      </c>
      <c r="E13" s="5" t="s">
        <v>235</v>
      </c>
      <c r="F13" s="5" t="s">
        <v>236</v>
      </c>
      <c r="G13" s="5" t="s">
        <v>237</v>
      </c>
      <c r="H13" s="5" t="s">
        <v>238</v>
      </c>
      <c r="I13" s="5" t="s">
        <v>239</v>
      </c>
      <c r="J13" s="5" t="s">
        <v>226</v>
      </c>
      <c r="K13" s="5" t="s">
        <v>227</v>
      </c>
      <c r="L13" s="5" t="s">
        <v>240</v>
      </c>
      <c r="M13" s="5"/>
      <c r="N13" s="5"/>
      <c r="O13" s="5" t="s">
        <v>229</v>
      </c>
      <c r="P13" s="5"/>
      <c r="Q13" s="5">
        <v>11</v>
      </c>
      <c r="R13" s="54">
        <v>8</v>
      </c>
      <c r="S13" s="5">
        <v>216.5</v>
      </c>
      <c r="T13" s="5">
        <v>216.5</v>
      </c>
      <c r="U13" s="5"/>
      <c r="V13" s="5">
        <v>89.5</v>
      </c>
      <c r="W13" s="5">
        <v>89.5</v>
      </c>
      <c r="X13" s="5"/>
      <c r="Y13" s="53" t="s">
        <v>230</v>
      </c>
      <c r="Z13" s="53" t="s">
        <v>241</v>
      </c>
      <c r="AA13" s="53" t="s">
        <v>232</v>
      </c>
      <c r="AB13" s="53"/>
      <c r="AC13" s="99"/>
      <c r="AD13" s="112"/>
      <c r="AE13" s="99"/>
      <c r="AF13" s="99" t="s">
        <v>229</v>
      </c>
      <c r="AG13" s="99"/>
      <c r="AH13" s="99"/>
    </row>
    <row r="14" spans="1:34" s="3" customFormat="1" ht="140.25">
      <c r="A14" s="4">
        <v>3</v>
      </c>
      <c r="B14" s="4" t="s">
        <v>218</v>
      </c>
      <c r="C14" s="5" t="s">
        <v>242</v>
      </c>
      <c r="D14" s="5" t="s">
        <v>243</v>
      </c>
      <c r="E14" s="5" t="s">
        <v>244</v>
      </c>
      <c r="F14" s="5" t="s">
        <v>245</v>
      </c>
      <c r="G14" s="5" t="s">
        <v>246</v>
      </c>
      <c r="H14" s="5" t="s">
        <v>247</v>
      </c>
      <c r="I14" s="5" t="s">
        <v>248</v>
      </c>
      <c r="J14" s="5" t="s">
        <v>249</v>
      </c>
      <c r="K14" s="5"/>
      <c r="L14" s="5" t="s">
        <v>250</v>
      </c>
      <c r="M14" s="5"/>
      <c r="N14" s="5" t="s">
        <v>229</v>
      </c>
      <c r="O14" s="5" t="s">
        <v>229</v>
      </c>
      <c r="P14" s="5"/>
      <c r="Q14" s="5">
        <v>1</v>
      </c>
      <c r="R14" s="5">
        <v>1</v>
      </c>
      <c r="S14" s="5">
        <v>45.6</v>
      </c>
      <c r="T14" s="5">
        <v>45.6</v>
      </c>
      <c r="U14" s="5"/>
      <c r="V14" s="5">
        <v>30</v>
      </c>
      <c r="W14" s="5">
        <v>30</v>
      </c>
      <c r="X14" s="5"/>
      <c r="Y14" s="53" t="s">
        <v>230</v>
      </c>
      <c r="Z14" s="53" t="s">
        <v>231</v>
      </c>
      <c r="AA14" s="53" t="s">
        <v>232</v>
      </c>
      <c r="AB14" s="53"/>
      <c r="AC14" s="99"/>
      <c r="AD14" s="112"/>
      <c r="AE14" s="99"/>
      <c r="AF14" s="99" t="s">
        <v>229</v>
      </c>
      <c r="AG14" s="99"/>
      <c r="AH14" s="99"/>
    </row>
    <row r="15" spans="1:34" s="3" customFormat="1" ht="51">
      <c r="A15" s="4">
        <v>4</v>
      </c>
      <c r="B15" s="4" t="s">
        <v>251</v>
      </c>
      <c r="C15" s="5" t="s">
        <v>252</v>
      </c>
      <c r="D15" s="5" t="s">
        <v>253</v>
      </c>
      <c r="E15" s="5" t="s">
        <v>254</v>
      </c>
      <c r="F15" s="5" t="s">
        <v>255</v>
      </c>
      <c r="G15" s="5" t="s">
        <v>256</v>
      </c>
      <c r="H15" s="5" t="s">
        <v>257</v>
      </c>
      <c r="I15" s="5" t="s">
        <v>257</v>
      </c>
      <c r="J15" s="5" t="s">
        <v>226</v>
      </c>
      <c r="K15" s="5" t="s">
        <v>227</v>
      </c>
      <c r="L15" s="5" t="s">
        <v>258</v>
      </c>
      <c r="M15" s="5"/>
      <c r="N15" s="5"/>
      <c r="O15" s="5" t="s">
        <v>229</v>
      </c>
      <c r="P15" s="5"/>
      <c r="Q15" s="5">
        <v>4</v>
      </c>
      <c r="R15" s="54">
        <v>2</v>
      </c>
      <c r="S15" s="5">
        <v>48.6</v>
      </c>
      <c r="T15" s="5">
        <v>48.6</v>
      </c>
      <c r="U15" s="5"/>
      <c r="V15" s="5">
        <v>34.5</v>
      </c>
      <c r="W15" s="5">
        <v>34.5</v>
      </c>
      <c r="X15" s="5"/>
      <c r="Y15" s="53" t="s">
        <v>230</v>
      </c>
      <c r="Z15" s="53" t="s">
        <v>241</v>
      </c>
      <c r="AA15" s="53"/>
      <c r="AB15" s="53"/>
      <c r="AC15" s="99"/>
      <c r="AD15" s="112"/>
      <c r="AE15" s="99"/>
      <c r="AF15" s="99" t="s">
        <v>229</v>
      </c>
      <c r="AG15" s="99"/>
      <c r="AH15" s="99"/>
    </row>
    <row r="16" spans="1:34" s="3" customFormat="1" ht="63.75">
      <c r="A16" s="4">
        <v>5</v>
      </c>
      <c r="B16" s="4" t="s">
        <v>259</v>
      </c>
      <c r="C16" s="5" t="s">
        <v>260</v>
      </c>
      <c r="D16" s="5" t="s">
        <v>261</v>
      </c>
      <c r="E16" s="5">
        <v>9066637750</v>
      </c>
      <c r="F16" s="5" t="s">
        <v>262</v>
      </c>
      <c r="G16" s="5" t="s">
        <v>263</v>
      </c>
      <c r="H16" s="5" t="s">
        <v>264</v>
      </c>
      <c r="I16" s="5" t="s">
        <v>264</v>
      </c>
      <c r="J16" s="5" t="s">
        <v>226</v>
      </c>
      <c r="K16" s="5" t="s">
        <v>227</v>
      </c>
      <c r="L16" s="5" t="s">
        <v>265</v>
      </c>
      <c r="M16" s="5"/>
      <c r="N16" s="5"/>
      <c r="O16" s="5" t="s">
        <v>229</v>
      </c>
      <c r="P16" s="5"/>
      <c r="Q16" s="5">
        <v>2</v>
      </c>
      <c r="R16" s="54">
        <v>2</v>
      </c>
      <c r="S16" s="5">
        <v>63.6</v>
      </c>
      <c r="T16" s="5">
        <v>63.6</v>
      </c>
      <c r="U16" s="5"/>
      <c r="V16" s="5">
        <v>43.5</v>
      </c>
      <c r="W16" s="5">
        <v>43.5</v>
      </c>
      <c r="X16" s="5"/>
      <c r="Y16" s="53" t="s">
        <v>230</v>
      </c>
      <c r="Z16" s="53" t="s">
        <v>241</v>
      </c>
      <c r="AA16" s="53" t="s">
        <v>232</v>
      </c>
      <c r="AB16" s="53"/>
      <c r="AC16" s="99"/>
      <c r="AD16" s="112"/>
      <c r="AE16" s="99"/>
      <c r="AF16" s="99" t="s">
        <v>229</v>
      </c>
      <c r="AG16" s="99"/>
      <c r="AH16" s="99"/>
    </row>
    <row r="17" spans="1:34" s="3" customFormat="1" ht="76.5">
      <c r="A17" s="4">
        <v>6</v>
      </c>
      <c r="B17" s="4" t="s">
        <v>218</v>
      </c>
      <c r="C17" s="5" t="s">
        <v>266</v>
      </c>
      <c r="D17" s="5" t="s">
        <v>267</v>
      </c>
      <c r="E17" s="5" t="s">
        <v>268</v>
      </c>
      <c r="F17" s="5" t="s">
        <v>269</v>
      </c>
      <c r="G17" s="5" t="s">
        <v>270</v>
      </c>
      <c r="H17" s="5" t="s">
        <v>271</v>
      </c>
      <c r="I17" s="5" t="s">
        <v>271</v>
      </c>
      <c r="J17" s="5" t="s">
        <v>226</v>
      </c>
      <c r="K17" s="5" t="s">
        <v>227</v>
      </c>
      <c r="L17" s="5" t="s">
        <v>272</v>
      </c>
      <c r="M17" s="5"/>
      <c r="N17" s="5"/>
      <c r="O17" s="5" t="s">
        <v>229</v>
      </c>
      <c r="P17" s="5"/>
      <c r="Q17" s="5">
        <v>4</v>
      </c>
      <c r="R17" s="54">
        <v>2</v>
      </c>
      <c r="S17" s="5">
        <v>70</v>
      </c>
      <c r="T17" s="5">
        <v>70</v>
      </c>
      <c r="U17" s="5"/>
      <c r="V17" s="5">
        <v>42</v>
      </c>
      <c r="W17" s="5">
        <v>42</v>
      </c>
      <c r="X17" s="5"/>
      <c r="Y17" s="53" t="s">
        <v>230</v>
      </c>
      <c r="Z17" s="53" t="s">
        <v>241</v>
      </c>
      <c r="AA17" s="53" t="s">
        <v>232</v>
      </c>
      <c r="AB17" s="53"/>
      <c r="AC17" s="99"/>
      <c r="AD17" s="112"/>
      <c r="AE17" s="99"/>
      <c r="AF17" s="99" t="s">
        <v>229</v>
      </c>
      <c r="AG17" s="99"/>
      <c r="AH17" s="99"/>
    </row>
    <row r="18" spans="1:34" s="3" customFormat="1" ht="51">
      <c r="A18" s="4">
        <v>7</v>
      </c>
      <c r="B18" s="4" t="s">
        <v>218</v>
      </c>
      <c r="C18" s="5" t="s">
        <v>260</v>
      </c>
      <c r="D18" s="5" t="s">
        <v>273</v>
      </c>
      <c r="E18" s="5">
        <v>9208121312</v>
      </c>
      <c r="F18" s="5" t="s">
        <v>274</v>
      </c>
      <c r="G18" s="5" t="s">
        <v>275</v>
      </c>
      <c r="H18" s="5" t="s">
        <v>276</v>
      </c>
      <c r="I18" s="5" t="s">
        <v>276</v>
      </c>
      <c r="J18" s="5" t="s">
        <v>277</v>
      </c>
      <c r="K18" s="5" t="s">
        <v>278</v>
      </c>
      <c r="L18" s="5" t="s">
        <v>279</v>
      </c>
      <c r="M18" s="5"/>
      <c r="N18" s="5"/>
      <c r="O18" s="5" t="s">
        <v>229</v>
      </c>
      <c r="P18" s="5"/>
      <c r="Q18" s="5">
        <v>2</v>
      </c>
      <c r="R18" s="54">
        <v>2</v>
      </c>
      <c r="S18" s="5">
        <v>40</v>
      </c>
      <c r="T18" s="5">
        <v>40</v>
      </c>
      <c r="U18" s="5"/>
      <c r="V18" s="5">
        <v>24.4</v>
      </c>
      <c r="W18" s="5">
        <v>24.4</v>
      </c>
      <c r="X18" s="5"/>
      <c r="Y18" s="53" t="s">
        <v>230</v>
      </c>
      <c r="Z18" s="53" t="s">
        <v>241</v>
      </c>
      <c r="AA18" s="53"/>
      <c r="AB18" s="53"/>
      <c r="AC18" s="99"/>
      <c r="AD18" s="112"/>
      <c r="AE18" s="99"/>
      <c r="AF18" s="99" t="s">
        <v>229</v>
      </c>
      <c r="AG18" s="99"/>
      <c r="AH18" s="99"/>
    </row>
    <row r="19" spans="1:34" s="3" customFormat="1" ht="63.75">
      <c r="A19" s="4">
        <v>8</v>
      </c>
      <c r="B19" s="4" t="s">
        <v>280</v>
      </c>
      <c r="C19" s="5" t="s">
        <v>260</v>
      </c>
      <c r="D19" s="5" t="s">
        <v>281</v>
      </c>
      <c r="E19" s="5">
        <v>9102674523</v>
      </c>
      <c r="F19" s="5" t="s">
        <v>282</v>
      </c>
      <c r="G19" s="5" t="s">
        <v>283</v>
      </c>
      <c r="H19" s="5" t="s">
        <v>284</v>
      </c>
      <c r="I19" s="5" t="s">
        <v>284</v>
      </c>
      <c r="J19" s="5" t="s">
        <v>285</v>
      </c>
      <c r="K19" s="5" t="s">
        <v>278</v>
      </c>
      <c r="L19" s="5" t="s">
        <v>286</v>
      </c>
      <c r="M19" s="5"/>
      <c r="N19" s="5"/>
      <c r="O19" s="5" t="s">
        <v>229</v>
      </c>
      <c r="P19" s="5"/>
      <c r="Q19" s="5">
        <v>2</v>
      </c>
      <c r="R19" s="54">
        <v>2</v>
      </c>
      <c r="S19" s="5">
        <v>81.3</v>
      </c>
      <c r="T19" s="5">
        <v>81.3</v>
      </c>
      <c r="U19" s="5"/>
      <c r="V19" s="5">
        <v>26.2</v>
      </c>
      <c r="W19" s="5">
        <v>26.2</v>
      </c>
      <c r="X19" s="5"/>
      <c r="Y19" s="53" t="s">
        <v>230</v>
      </c>
      <c r="Z19" s="53" t="s">
        <v>241</v>
      </c>
      <c r="AA19" s="53"/>
      <c r="AB19" s="53"/>
      <c r="AC19" s="99"/>
      <c r="AD19" s="112"/>
      <c r="AE19" s="99"/>
      <c r="AF19" s="99" t="s">
        <v>229</v>
      </c>
      <c r="AG19" s="99"/>
      <c r="AH19" s="99"/>
    </row>
    <row r="20" spans="1:34" s="3" customFormat="1" ht="76.5">
      <c r="A20" s="4">
        <v>9</v>
      </c>
      <c r="B20" s="4" t="s">
        <v>218</v>
      </c>
      <c r="C20" s="5" t="s">
        <v>287</v>
      </c>
      <c r="D20" s="5" t="s">
        <v>288</v>
      </c>
      <c r="E20" s="5">
        <v>84864322561</v>
      </c>
      <c r="F20" s="5" t="s">
        <v>289</v>
      </c>
      <c r="G20" s="5" t="s">
        <v>290</v>
      </c>
      <c r="H20" s="5" t="s">
        <v>291</v>
      </c>
      <c r="I20" s="5" t="s">
        <v>291</v>
      </c>
      <c r="J20" s="5" t="s">
        <v>226</v>
      </c>
      <c r="K20" s="5" t="s">
        <v>227</v>
      </c>
      <c r="L20" s="5" t="s">
        <v>292</v>
      </c>
      <c r="M20" s="5"/>
      <c r="N20" s="5"/>
      <c r="O20" s="5" t="s">
        <v>229</v>
      </c>
      <c r="P20" s="5"/>
      <c r="Q20" s="5">
        <v>4</v>
      </c>
      <c r="R20" s="5">
        <v>4</v>
      </c>
      <c r="S20" s="5">
        <v>85.3</v>
      </c>
      <c r="T20" s="5">
        <v>85.3</v>
      </c>
      <c r="U20" s="5"/>
      <c r="V20" s="5">
        <v>60</v>
      </c>
      <c r="W20" s="5">
        <v>60</v>
      </c>
      <c r="X20" s="5"/>
      <c r="Y20" s="53" t="s">
        <v>230</v>
      </c>
      <c r="Z20" s="53" t="s">
        <v>241</v>
      </c>
      <c r="AA20" s="53"/>
      <c r="AB20" s="53"/>
      <c r="AC20" s="99"/>
      <c r="AD20" s="112"/>
      <c r="AE20" s="99"/>
      <c r="AF20" s="99" t="s">
        <v>229</v>
      </c>
      <c r="AG20" s="99"/>
      <c r="AH20" s="99"/>
    </row>
    <row r="21" spans="1:34" s="3" customFormat="1" ht="38.25">
      <c r="A21" s="4">
        <v>10</v>
      </c>
      <c r="B21" s="4" t="s">
        <v>218</v>
      </c>
      <c r="C21" s="5" t="s">
        <v>293</v>
      </c>
      <c r="D21" s="5" t="s">
        <v>273</v>
      </c>
      <c r="E21" s="5" t="s">
        <v>294</v>
      </c>
      <c r="F21" s="5" t="s">
        <v>295</v>
      </c>
      <c r="G21" s="5"/>
      <c r="H21" s="5" t="s">
        <v>296</v>
      </c>
      <c r="I21" s="5" t="s">
        <v>296</v>
      </c>
      <c r="J21" s="5" t="s">
        <v>297</v>
      </c>
      <c r="K21" s="5" t="s">
        <v>278</v>
      </c>
      <c r="L21" s="5" t="s">
        <v>298</v>
      </c>
      <c r="M21" s="5"/>
      <c r="N21" s="5"/>
      <c r="O21" s="5" t="s">
        <v>229</v>
      </c>
      <c r="P21" s="5"/>
      <c r="Q21" s="5">
        <v>2</v>
      </c>
      <c r="R21" s="5">
        <v>2</v>
      </c>
      <c r="S21" s="5">
        <v>36</v>
      </c>
      <c r="T21" s="5">
        <v>36</v>
      </c>
      <c r="U21" s="5"/>
      <c r="V21" s="5">
        <v>30</v>
      </c>
      <c r="W21" s="5">
        <v>30</v>
      </c>
      <c r="X21" s="5"/>
      <c r="Y21" s="53" t="s">
        <v>230</v>
      </c>
      <c r="Z21" s="53" t="s">
        <v>231</v>
      </c>
      <c r="AA21" s="53"/>
      <c r="AB21" s="53"/>
      <c r="AC21" s="99"/>
      <c r="AD21" s="112"/>
      <c r="AE21" s="99"/>
      <c r="AF21" s="99" t="s">
        <v>229</v>
      </c>
      <c r="AG21" s="99"/>
      <c r="AH21" s="99"/>
    </row>
    <row r="22" spans="1:34" s="3" customFormat="1" ht="51">
      <c r="A22" s="4">
        <v>11</v>
      </c>
      <c r="B22" s="4" t="s">
        <v>218</v>
      </c>
      <c r="C22" s="5" t="s">
        <v>299</v>
      </c>
      <c r="D22" s="5" t="s">
        <v>300</v>
      </c>
      <c r="E22" s="5" t="s">
        <v>301</v>
      </c>
      <c r="F22" s="5" t="s">
        <v>302</v>
      </c>
      <c r="G22" s="5" t="s">
        <v>303</v>
      </c>
      <c r="H22" s="5" t="s">
        <v>304</v>
      </c>
      <c r="I22" s="5" t="s">
        <v>304</v>
      </c>
      <c r="J22" s="5" t="s">
        <v>297</v>
      </c>
      <c r="K22" s="5" t="s">
        <v>278</v>
      </c>
      <c r="L22" s="5" t="s">
        <v>305</v>
      </c>
      <c r="M22" s="5"/>
      <c r="N22" s="5"/>
      <c r="O22" s="5" t="s">
        <v>229</v>
      </c>
      <c r="P22" s="5"/>
      <c r="Q22" s="5">
        <v>2</v>
      </c>
      <c r="R22" s="54">
        <v>2</v>
      </c>
      <c r="S22" s="5">
        <v>32</v>
      </c>
      <c r="T22" s="5">
        <v>32</v>
      </c>
      <c r="U22" s="5"/>
      <c r="V22" s="5">
        <v>10</v>
      </c>
      <c r="W22" s="5">
        <v>10</v>
      </c>
      <c r="X22" s="5"/>
      <c r="Y22" s="53" t="s">
        <v>230</v>
      </c>
      <c r="Z22" s="53" t="s">
        <v>231</v>
      </c>
      <c r="AA22" s="53"/>
      <c r="AB22" s="53"/>
      <c r="AC22" s="99"/>
      <c r="AD22" s="112"/>
      <c r="AE22" s="99"/>
      <c r="AF22" s="99" t="s">
        <v>229</v>
      </c>
      <c r="AG22" s="99"/>
      <c r="AH22" s="99"/>
    </row>
    <row r="23" spans="1:34" s="3" customFormat="1" ht="51">
      <c r="A23" s="4">
        <v>12</v>
      </c>
      <c r="B23" s="4" t="s">
        <v>218</v>
      </c>
      <c r="C23" s="5" t="s">
        <v>306</v>
      </c>
      <c r="D23" s="5" t="s">
        <v>307</v>
      </c>
      <c r="E23" s="5">
        <v>9051669977</v>
      </c>
      <c r="F23" s="5" t="s">
        <v>308</v>
      </c>
      <c r="G23" s="5" t="s">
        <v>309</v>
      </c>
      <c r="H23" s="158" t="s">
        <v>310</v>
      </c>
      <c r="I23" s="158" t="s">
        <v>310</v>
      </c>
      <c r="J23" s="5" t="s">
        <v>297</v>
      </c>
      <c r="K23" s="5" t="s">
        <v>278</v>
      </c>
      <c r="L23" s="5" t="s">
        <v>311</v>
      </c>
      <c r="M23" s="5" t="s">
        <v>229</v>
      </c>
      <c r="N23" s="5"/>
      <c r="O23" s="5" t="s">
        <v>229</v>
      </c>
      <c r="P23" s="5"/>
      <c r="Q23" s="5">
        <v>2</v>
      </c>
      <c r="R23" s="54">
        <v>2</v>
      </c>
      <c r="S23" s="5">
        <v>35</v>
      </c>
      <c r="T23" s="5">
        <v>35</v>
      </c>
      <c r="U23" s="5"/>
      <c r="V23" s="5">
        <v>25</v>
      </c>
      <c r="W23" s="5">
        <v>25</v>
      </c>
      <c r="X23" s="5"/>
      <c r="Y23" s="53" t="s">
        <v>230</v>
      </c>
      <c r="Z23" s="53" t="s">
        <v>241</v>
      </c>
      <c r="AA23" s="53" t="s">
        <v>229</v>
      </c>
      <c r="AB23" s="53"/>
      <c r="AC23" s="99"/>
      <c r="AD23" s="112">
        <v>100</v>
      </c>
      <c r="AE23" s="99"/>
      <c r="AF23" s="99" t="s">
        <v>229</v>
      </c>
      <c r="AG23" s="99"/>
      <c r="AH23" s="99"/>
    </row>
    <row r="24" spans="1:34" s="3" customFormat="1" ht="51">
      <c r="A24" s="4">
        <v>13</v>
      </c>
      <c r="B24" s="4" t="s">
        <v>218</v>
      </c>
      <c r="C24" s="5" t="s">
        <v>312</v>
      </c>
      <c r="D24" s="5" t="s">
        <v>313</v>
      </c>
      <c r="E24" s="5" t="s">
        <v>314</v>
      </c>
      <c r="F24" s="5" t="s">
        <v>315</v>
      </c>
      <c r="G24" s="5" t="s">
        <v>316</v>
      </c>
      <c r="H24" s="5" t="s">
        <v>317</v>
      </c>
      <c r="I24" s="5" t="s">
        <v>317</v>
      </c>
      <c r="J24" s="5" t="s">
        <v>297</v>
      </c>
      <c r="K24" s="5" t="s">
        <v>278</v>
      </c>
      <c r="L24" s="5" t="s">
        <v>318</v>
      </c>
      <c r="M24" s="5" t="s">
        <v>229</v>
      </c>
      <c r="N24" s="5"/>
      <c r="O24" s="5" t="s">
        <v>229</v>
      </c>
      <c r="P24" s="5"/>
      <c r="Q24" s="5">
        <v>1</v>
      </c>
      <c r="R24" s="54">
        <v>1</v>
      </c>
      <c r="S24" s="5">
        <v>58.2</v>
      </c>
      <c r="T24" s="5">
        <v>58.2</v>
      </c>
      <c r="U24" s="5"/>
      <c r="V24" s="5">
        <v>44.8</v>
      </c>
      <c r="W24" s="5">
        <v>44.8</v>
      </c>
      <c r="X24" s="5"/>
      <c r="Y24" s="53" t="s">
        <v>230</v>
      </c>
      <c r="Z24" s="53" t="s">
        <v>231</v>
      </c>
      <c r="AA24" s="53"/>
      <c r="AB24" s="53"/>
      <c r="AC24" s="99"/>
      <c r="AD24" s="112">
        <v>80</v>
      </c>
      <c r="AE24" s="99"/>
      <c r="AF24" s="99" t="s">
        <v>229</v>
      </c>
      <c r="AG24" s="99"/>
      <c r="AH24" s="99"/>
    </row>
    <row r="25" spans="1:34" s="3" customFormat="1" ht="63.75">
      <c r="A25" s="4">
        <v>14</v>
      </c>
      <c r="B25" s="4" t="s">
        <v>218</v>
      </c>
      <c r="C25" s="5" t="s">
        <v>319</v>
      </c>
      <c r="D25" s="5" t="s">
        <v>320</v>
      </c>
      <c r="E25" s="5">
        <v>9066656666</v>
      </c>
      <c r="F25" s="5" t="s">
        <v>321</v>
      </c>
      <c r="G25" s="5" t="s">
        <v>322</v>
      </c>
      <c r="H25" s="5" t="s">
        <v>323</v>
      </c>
      <c r="I25" s="5" t="s">
        <v>323</v>
      </c>
      <c r="J25" s="5" t="s">
        <v>297</v>
      </c>
      <c r="K25" s="5" t="s">
        <v>278</v>
      </c>
      <c r="L25" s="5" t="s">
        <v>311</v>
      </c>
      <c r="M25" s="5"/>
      <c r="N25" s="5"/>
      <c r="O25" s="5" t="s">
        <v>229</v>
      </c>
      <c r="P25" s="5"/>
      <c r="Q25" s="5">
        <v>2</v>
      </c>
      <c r="R25" s="54">
        <v>2</v>
      </c>
      <c r="S25" s="5">
        <v>100</v>
      </c>
      <c r="T25" s="5">
        <v>100</v>
      </c>
      <c r="U25" s="5"/>
      <c r="V25" s="5">
        <v>52.8</v>
      </c>
      <c r="W25" s="5">
        <v>52.8</v>
      </c>
      <c r="X25" s="5"/>
      <c r="Y25" s="53" t="s">
        <v>230</v>
      </c>
      <c r="Z25" s="53" t="s">
        <v>231</v>
      </c>
      <c r="AA25" s="53" t="s">
        <v>232</v>
      </c>
      <c r="AB25" s="53"/>
      <c r="AC25" s="99"/>
      <c r="AD25" s="112"/>
      <c r="AE25" s="99" t="s">
        <v>229</v>
      </c>
      <c r="AF25" s="99" t="s">
        <v>229</v>
      </c>
      <c r="AG25" s="99"/>
      <c r="AH25" s="99"/>
    </row>
    <row r="26" spans="1:34" s="3" customFormat="1" ht="102">
      <c r="A26" s="4">
        <v>15</v>
      </c>
      <c r="B26" s="4" t="s">
        <v>218</v>
      </c>
      <c r="C26" s="5" t="s">
        <v>324</v>
      </c>
      <c r="D26" s="5" t="s">
        <v>220</v>
      </c>
      <c r="E26" s="5"/>
      <c r="F26" s="5" t="s">
        <v>325</v>
      </c>
      <c r="G26" s="5"/>
      <c r="H26" s="5" t="s">
        <v>326</v>
      </c>
      <c r="I26" s="5" t="s">
        <v>326</v>
      </c>
      <c r="J26" s="5" t="s">
        <v>297</v>
      </c>
      <c r="K26" s="5"/>
      <c r="L26" s="5" t="s">
        <v>327</v>
      </c>
      <c r="M26" s="5"/>
      <c r="N26" s="5"/>
      <c r="O26" s="5" t="s">
        <v>229</v>
      </c>
      <c r="P26" s="5"/>
      <c r="Q26" s="5">
        <v>2</v>
      </c>
      <c r="R26" s="54">
        <v>2</v>
      </c>
      <c r="S26" s="5">
        <v>87</v>
      </c>
      <c r="T26" s="5">
        <v>87</v>
      </c>
      <c r="U26" s="5"/>
      <c r="V26" s="5">
        <v>34</v>
      </c>
      <c r="W26" s="5">
        <v>34</v>
      </c>
      <c r="X26" s="5"/>
      <c r="Y26" s="53" t="s">
        <v>230</v>
      </c>
      <c r="Z26" s="53" t="s">
        <v>231</v>
      </c>
      <c r="AA26" s="53" t="s">
        <v>232</v>
      </c>
      <c r="AB26" s="53"/>
      <c r="AC26" s="99"/>
      <c r="AD26" s="112"/>
      <c r="AE26" s="99"/>
      <c r="AF26" s="99" t="s">
        <v>229</v>
      </c>
      <c r="AG26" s="99"/>
      <c r="AH26" s="99"/>
    </row>
    <row r="27" spans="1:34" s="3" customFormat="1" ht="51">
      <c r="A27" s="4">
        <v>16</v>
      </c>
      <c r="B27" s="4" t="s">
        <v>218</v>
      </c>
      <c r="C27" s="5" t="s">
        <v>328</v>
      </c>
      <c r="D27" s="5" t="s">
        <v>329</v>
      </c>
      <c r="E27" s="5">
        <v>9107488808</v>
      </c>
      <c r="F27" s="5" t="s">
        <v>330</v>
      </c>
      <c r="G27" s="5" t="s">
        <v>331</v>
      </c>
      <c r="H27" s="5" t="s">
        <v>332</v>
      </c>
      <c r="I27" s="5" t="s">
        <v>333</v>
      </c>
      <c r="J27" s="5" t="s">
        <v>334</v>
      </c>
      <c r="K27" s="5"/>
      <c r="L27" s="5" t="s">
        <v>335</v>
      </c>
      <c r="M27" s="5"/>
      <c r="N27" s="5"/>
      <c r="O27" s="5" t="s">
        <v>229</v>
      </c>
      <c r="P27" s="5"/>
      <c r="Q27" s="5">
        <v>2</v>
      </c>
      <c r="R27" s="54">
        <v>2</v>
      </c>
      <c r="S27" s="5">
        <v>80</v>
      </c>
      <c r="T27" s="5">
        <v>80</v>
      </c>
      <c r="U27" s="5"/>
      <c r="V27" s="5">
        <v>60</v>
      </c>
      <c r="W27" s="5">
        <v>60</v>
      </c>
      <c r="X27" s="5"/>
      <c r="Y27" s="53" t="s">
        <v>230</v>
      </c>
      <c r="Z27" s="53" t="s">
        <v>336</v>
      </c>
      <c r="AA27" s="53" t="s">
        <v>232</v>
      </c>
      <c r="AB27" s="53"/>
      <c r="AC27" s="99"/>
      <c r="AD27" s="112"/>
      <c r="AE27" s="99"/>
      <c r="AF27" s="99" t="s">
        <v>229</v>
      </c>
      <c r="AG27" s="99"/>
      <c r="AH27" s="99"/>
    </row>
    <row r="28" spans="1:34" s="3" customFormat="1" ht="51">
      <c r="A28" s="4">
        <v>17</v>
      </c>
      <c r="B28" s="4" t="s">
        <v>218</v>
      </c>
      <c r="C28" s="5" t="s">
        <v>328</v>
      </c>
      <c r="D28" s="5" t="s">
        <v>337</v>
      </c>
      <c r="E28" s="5">
        <v>9107488808</v>
      </c>
      <c r="F28" s="5" t="s">
        <v>330</v>
      </c>
      <c r="G28" s="5" t="s">
        <v>331</v>
      </c>
      <c r="H28" s="5" t="s">
        <v>332</v>
      </c>
      <c r="I28" s="5" t="s">
        <v>333</v>
      </c>
      <c r="J28" s="5" t="s">
        <v>334</v>
      </c>
      <c r="K28" s="5"/>
      <c r="L28" s="5" t="s">
        <v>335</v>
      </c>
      <c r="M28" s="5"/>
      <c r="N28" s="5"/>
      <c r="O28" s="5" t="s">
        <v>229</v>
      </c>
      <c r="P28" s="5"/>
      <c r="Q28" s="5">
        <v>2</v>
      </c>
      <c r="R28" s="54">
        <v>2</v>
      </c>
      <c r="S28" s="5">
        <v>100</v>
      </c>
      <c r="T28" s="5">
        <v>100</v>
      </c>
      <c r="U28" s="5"/>
      <c r="V28" s="5">
        <v>80</v>
      </c>
      <c r="W28" s="5">
        <v>80</v>
      </c>
      <c r="X28" s="5"/>
      <c r="Y28" s="53" t="s">
        <v>230</v>
      </c>
      <c r="Z28" s="53" t="s">
        <v>231</v>
      </c>
      <c r="AA28" s="53" t="s">
        <v>232</v>
      </c>
      <c r="AB28" s="53"/>
      <c r="AC28" s="99"/>
      <c r="AD28" s="112"/>
      <c r="AE28" s="99"/>
      <c r="AF28" s="99" t="s">
        <v>229</v>
      </c>
      <c r="AG28" s="99"/>
      <c r="AH28" s="99"/>
    </row>
    <row r="29" spans="1:34" s="3" customFormat="1" ht="51">
      <c r="A29" s="157">
        <v>18</v>
      </c>
      <c r="B29" s="157" t="s">
        <v>218</v>
      </c>
      <c r="C29" s="158" t="s">
        <v>306</v>
      </c>
      <c r="D29" s="158" t="s">
        <v>338</v>
      </c>
      <c r="E29" s="158">
        <v>89192059140</v>
      </c>
      <c r="F29" s="158" t="s">
        <v>339</v>
      </c>
      <c r="G29" s="158" t="s">
        <v>340</v>
      </c>
      <c r="H29" s="158" t="s">
        <v>341</v>
      </c>
      <c r="I29" s="158" t="s">
        <v>342</v>
      </c>
      <c r="J29" s="158" t="s">
        <v>277</v>
      </c>
      <c r="K29" s="158" t="s">
        <v>278</v>
      </c>
      <c r="L29" s="158" t="s">
        <v>311</v>
      </c>
      <c r="M29" s="158" t="s">
        <v>229</v>
      </c>
      <c r="N29" s="158"/>
      <c r="O29" s="158" t="s">
        <v>229</v>
      </c>
      <c r="P29" s="158"/>
      <c r="Q29" s="158">
        <v>3</v>
      </c>
      <c r="R29" s="159">
        <v>2</v>
      </c>
      <c r="S29" s="158">
        <v>41.1</v>
      </c>
      <c r="T29" s="158"/>
      <c r="U29" s="158">
        <v>41.1</v>
      </c>
      <c r="V29" s="158">
        <v>25.5</v>
      </c>
      <c r="W29" s="158"/>
      <c r="X29" s="158">
        <v>25.5</v>
      </c>
      <c r="Y29" s="160" t="s">
        <v>230</v>
      </c>
      <c r="Z29" s="160" t="s">
        <v>343</v>
      </c>
      <c r="AA29" s="160" t="s">
        <v>229</v>
      </c>
      <c r="AB29" s="160"/>
      <c r="AC29" s="161"/>
      <c r="AD29" s="162">
        <v>80</v>
      </c>
      <c r="AE29" s="161"/>
      <c r="AF29" s="161" t="s">
        <v>229</v>
      </c>
      <c r="AG29" s="161"/>
      <c r="AH29" s="161"/>
    </row>
    <row r="30" spans="1:34" s="50" customFormat="1" ht="25.5">
      <c r="A30" s="23"/>
      <c r="B30" s="23"/>
      <c r="C30" s="23" t="s">
        <v>25</v>
      </c>
      <c r="D30" s="24" t="s">
        <v>24</v>
      </c>
      <c r="E30" s="61"/>
      <c r="F30" s="39"/>
      <c r="G30" s="62">
        <f>COUNTIF(C12:C29,"*")</f>
        <v>18</v>
      </c>
      <c r="H30" s="62"/>
      <c r="I30" s="62"/>
      <c r="J30" s="62"/>
      <c r="K30" s="62"/>
      <c r="L30" s="23"/>
      <c r="M30" s="23">
        <f>COUNTIF(M12:M29,"*")</f>
        <v>3</v>
      </c>
      <c r="N30" s="23">
        <f>COUNTIF(N12:N29,"*")</f>
        <v>2</v>
      </c>
      <c r="O30" s="23">
        <f>COUNTIF(O12:O29,"*")</f>
        <v>17</v>
      </c>
      <c r="P30" s="23">
        <f>COUNTIF(P12:P29,"*")</f>
        <v>1</v>
      </c>
      <c r="Q30" s="23">
        <f aca="true" t="shared" si="0" ref="Q30:X30">IF(SUM(Q12:Q29)&gt;0,SUM(Q12:Q29)," ")</f>
        <v>52</v>
      </c>
      <c r="R30" s="23">
        <f t="shared" si="0"/>
        <v>44</v>
      </c>
      <c r="S30" s="23">
        <f t="shared" si="0"/>
        <v>1334.4699999999998</v>
      </c>
      <c r="T30" s="23">
        <f t="shared" si="0"/>
        <v>1293.37</v>
      </c>
      <c r="U30" s="23">
        <f t="shared" si="0"/>
        <v>41.1</v>
      </c>
      <c r="V30" s="23">
        <f t="shared" si="0"/>
        <v>790.8499999999999</v>
      </c>
      <c r="W30" s="23">
        <f t="shared" si="0"/>
        <v>765.3499999999999</v>
      </c>
      <c r="X30" s="23">
        <f t="shared" si="0"/>
        <v>25.5</v>
      </c>
      <c r="Y30" s="23"/>
      <c r="Z30" s="23"/>
      <c r="AA30" s="23">
        <f>COUNTIF(AA12:AA29,"*")</f>
        <v>11</v>
      </c>
      <c r="AB30" s="23">
        <f>COUNTIF(AB12:AB29,"*")</f>
        <v>1</v>
      </c>
      <c r="AC30" s="23">
        <v>120</v>
      </c>
      <c r="AD30" s="24">
        <v>260</v>
      </c>
      <c r="AE30" s="23">
        <v>2</v>
      </c>
      <c r="AF30" s="23">
        <v>18</v>
      </c>
      <c r="AG30" s="23">
        <v>0</v>
      </c>
      <c r="AH30" s="23">
        <v>0</v>
      </c>
    </row>
    <row r="31" spans="1:34" ht="18.75">
      <c r="A31" s="8" t="s">
        <v>14</v>
      </c>
      <c r="B31" s="8"/>
      <c r="C31" s="9" t="s">
        <v>15</v>
      </c>
      <c r="D31" s="10"/>
      <c r="E31" s="10"/>
      <c r="F31" s="10" t="s">
        <v>15</v>
      </c>
      <c r="G31" s="10"/>
      <c r="H31" s="10"/>
      <c r="I31" s="10"/>
      <c r="J31" s="10" t="s">
        <v>15</v>
      </c>
      <c r="K31" s="10"/>
      <c r="L31" s="10"/>
      <c r="M31" s="10"/>
      <c r="N31" s="10"/>
      <c r="O31" s="10" t="s">
        <v>15</v>
      </c>
      <c r="P31" s="10"/>
      <c r="Q31" s="11"/>
      <c r="R31" s="11"/>
      <c r="S31" s="11"/>
      <c r="T31" s="11"/>
      <c r="U31" s="11"/>
      <c r="V31" s="11"/>
      <c r="W31" s="11" t="s">
        <v>15</v>
      </c>
      <c r="X31" s="11"/>
      <c r="Y31" s="12"/>
      <c r="AE31" s="113"/>
      <c r="AF31" s="113"/>
      <c r="AG31" s="113"/>
      <c r="AH31" s="113"/>
    </row>
    <row r="32" spans="1:34" s="3" customFormat="1" ht="63.75">
      <c r="A32" s="51">
        <v>1</v>
      </c>
      <c r="B32" s="51" t="s">
        <v>218</v>
      </c>
      <c r="C32" s="55" t="s">
        <v>344</v>
      </c>
      <c r="D32" s="55" t="s">
        <v>345</v>
      </c>
      <c r="E32" s="55"/>
      <c r="F32" s="55" t="s">
        <v>321</v>
      </c>
      <c r="G32" s="55" t="s">
        <v>322</v>
      </c>
      <c r="H32" s="55" t="s">
        <v>346</v>
      </c>
      <c r="I32" s="55" t="s">
        <v>347</v>
      </c>
      <c r="J32" s="55" t="s">
        <v>348</v>
      </c>
      <c r="K32" s="55"/>
      <c r="L32" s="55" t="s">
        <v>349</v>
      </c>
      <c r="M32" s="55"/>
      <c r="N32" s="55"/>
      <c r="O32" s="55"/>
      <c r="P32" s="55" t="s">
        <v>229</v>
      </c>
      <c r="Q32" s="55">
        <v>2</v>
      </c>
      <c r="R32" s="55">
        <v>2</v>
      </c>
      <c r="S32" s="55">
        <v>54</v>
      </c>
      <c r="T32" s="55"/>
      <c r="U32" s="55">
        <v>54</v>
      </c>
      <c r="V32" s="55">
        <v>78.9</v>
      </c>
      <c r="W32" s="55"/>
      <c r="X32" s="55">
        <v>78.9</v>
      </c>
      <c r="Y32" s="53" t="s">
        <v>230</v>
      </c>
      <c r="Z32" s="53" t="s">
        <v>241</v>
      </c>
      <c r="AA32" s="56"/>
      <c r="AB32" s="53"/>
      <c r="AC32" s="99"/>
      <c r="AD32" s="112"/>
      <c r="AE32" s="4"/>
      <c r="AF32" s="4" t="s">
        <v>229</v>
      </c>
      <c r="AG32" s="4"/>
      <c r="AH32" s="4"/>
    </row>
    <row r="33" spans="1:34" s="3" customFormat="1" ht="114.75">
      <c r="A33" s="51">
        <v>2</v>
      </c>
      <c r="B33" s="51" t="s">
        <v>218</v>
      </c>
      <c r="C33" s="55" t="s">
        <v>350</v>
      </c>
      <c r="D33" s="57" t="s">
        <v>351</v>
      </c>
      <c r="E33" s="57"/>
      <c r="F33" s="57" t="s">
        <v>352</v>
      </c>
      <c r="G33" s="57"/>
      <c r="H33" s="57" t="s">
        <v>353</v>
      </c>
      <c r="I33" s="57" t="s">
        <v>353</v>
      </c>
      <c r="J33" s="57" t="s">
        <v>354</v>
      </c>
      <c r="K33" s="57"/>
      <c r="L33" s="57" t="s">
        <v>355</v>
      </c>
      <c r="M33" s="57"/>
      <c r="N33" s="57"/>
      <c r="O33" s="57"/>
      <c r="P33" s="57" t="s">
        <v>229</v>
      </c>
      <c r="Q33" s="57">
        <v>7</v>
      </c>
      <c r="R33" s="58">
        <v>5</v>
      </c>
      <c r="S33" s="55">
        <v>158.4</v>
      </c>
      <c r="T33" s="55"/>
      <c r="U33" s="55">
        <v>158.4</v>
      </c>
      <c r="V33" s="55">
        <v>76.5</v>
      </c>
      <c r="W33" s="55"/>
      <c r="X33" s="55">
        <v>76.5</v>
      </c>
      <c r="Y33" s="53" t="s">
        <v>230</v>
      </c>
      <c r="Z33" s="53" t="s">
        <v>241</v>
      </c>
      <c r="AA33" s="56"/>
      <c r="AB33" s="53"/>
      <c r="AC33" s="99"/>
      <c r="AD33" s="112"/>
      <c r="AE33" s="4"/>
      <c r="AF33" s="4" t="s">
        <v>229</v>
      </c>
      <c r="AG33" s="4"/>
      <c r="AH33" s="4"/>
    </row>
    <row r="34" spans="1:34" s="3" customFormat="1" ht="63.75">
      <c r="A34" s="51">
        <v>3</v>
      </c>
      <c r="B34" s="51" t="s">
        <v>218</v>
      </c>
      <c r="C34" s="55" t="s">
        <v>356</v>
      </c>
      <c r="D34" s="57" t="s">
        <v>357</v>
      </c>
      <c r="E34" s="57" t="s">
        <v>358</v>
      </c>
      <c r="F34" s="57" t="s">
        <v>359</v>
      </c>
      <c r="G34" s="57" t="s">
        <v>360</v>
      </c>
      <c r="H34" s="57" t="s">
        <v>361</v>
      </c>
      <c r="I34" s="57" t="s">
        <v>361</v>
      </c>
      <c r="J34" s="57" t="s">
        <v>362</v>
      </c>
      <c r="K34" s="57"/>
      <c r="L34" s="57" t="s">
        <v>318</v>
      </c>
      <c r="M34" s="57"/>
      <c r="N34" s="57"/>
      <c r="O34" s="57"/>
      <c r="P34" s="57" t="s">
        <v>229</v>
      </c>
      <c r="Q34" s="57">
        <v>3</v>
      </c>
      <c r="R34" s="58">
        <v>2</v>
      </c>
      <c r="S34" s="55">
        <v>100</v>
      </c>
      <c r="T34" s="55"/>
      <c r="U34" s="55">
        <v>100</v>
      </c>
      <c r="V34" s="55">
        <v>75</v>
      </c>
      <c r="W34" s="55"/>
      <c r="X34" s="55">
        <v>75</v>
      </c>
      <c r="Y34" s="53" t="s">
        <v>230</v>
      </c>
      <c r="Z34" s="53" t="s">
        <v>231</v>
      </c>
      <c r="AA34" s="56"/>
      <c r="AB34" s="53"/>
      <c r="AC34" s="99"/>
      <c r="AD34" s="112"/>
      <c r="AE34" s="4"/>
      <c r="AF34" s="4" t="s">
        <v>229</v>
      </c>
      <c r="AG34" s="4"/>
      <c r="AH34" s="4"/>
    </row>
    <row r="35" spans="1:34" s="3" customFormat="1" ht="38.25">
      <c r="A35" s="51">
        <v>4</v>
      </c>
      <c r="B35" s="51" t="s">
        <v>218</v>
      </c>
      <c r="C35" s="55" t="s">
        <v>363</v>
      </c>
      <c r="D35" s="57" t="s">
        <v>300</v>
      </c>
      <c r="E35" s="57" t="s">
        <v>364</v>
      </c>
      <c r="F35" s="57" t="s">
        <v>365</v>
      </c>
      <c r="G35" s="57"/>
      <c r="H35" s="57" t="s">
        <v>366</v>
      </c>
      <c r="I35" s="57" t="s">
        <v>366</v>
      </c>
      <c r="J35" s="57" t="s">
        <v>367</v>
      </c>
      <c r="K35" s="57"/>
      <c r="L35" s="57" t="s">
        <v>368</v>
      </c>
      <c r="M35" s="57"/>
      <c r="N35" s="57"/>
      <c r="O35" s="57" t="s">
        <v>229</v>
      </c>
      <c r="P35" s="57"/>
      <c r="Q35" s="57">
        <v>2</v>
      </c>
      <c r="R35" s="58">
        <v>2</v>
      </c>
      <c r="S35" s="55">
        <v>21</v>
      </c>
      <c r="T35" s="55"/>
      <c r="U35" s="55">
        <v>21</v>
      </c>
      <c r="V35" s="55">
        <v>15</v>
      </c>
      <c r="W35" s="55"/>
      <c r="X35" s="55">
        <v>15</v>
      </c>
      <c r="Y35" s="53" t="s">
        <v>230</v>
      </c>
      <c r="Z35" s="53" t="s">
        <v>231</v>
      </c>
      <c r="AA35" s="56"/>
      <c r="AB35" s="53"/>
      <c r="AC35" s="99"/>
      <c r="AD35" s="112"/>
      <c r="AE35" s="4"/>
      <c r="AF35" s="4" t="s">
        <v>229</v>
      </c>
      <c r="AG35" s="4"/>
      <c r="AH35" s="4"/>
    </row>
    <row r="36" spans="1:34" s="3" customFormat="1" ht="63.75">
      <c r="A36" s="51">
        <v>5</v>
      </c>
      <c r="B36" s="51" t="s">
        <v>218</v>
      </c>
      <c r="C36" s="55" t="s">
        <v>369</v>
      </c>
      <c r="D36" s="57" t="s">
        <v>370</v>
      </c>
      <c r="E36" s="57"/>
      <c r="F36" s="57" t="s">
        <v>371</v>
      </c>
      <c r="G36" s="57" t="s">
        <v>372</v>
      </c>
      <c r="H36" s="57" t="s">
        <v>373</v>
      </c>
      <c r="I36" s="57" t="s">
        <v>373</v>
      </c>
      <c r="J36" s="57" t="s">
        <v>374</v>
      </c>
      <c r="K36" s="57"/>
      <c r="L36" s="57" t="s">
        <v>375</v>
      </c>
      <c r="M36" s="57"/>
      <c r="N36" s="57"/>
      <c r="O36" s="57" t="s">
        <v>229</v>
      </c>
      <c r="P36" s="57"/>
      <c r="Q36" s="57">
        <v>1</v>
      </c>
      <c r="R36" s="58">
        <v>1</v>
      </c>
      <c r="S36" s="55">
        <v>12</v>
      </c>
      <c r="T36" s="55"/>
      <c r="U36" s="55">
        <v>12</v>
      </c>
      <c r="V36" s="55">
        <v>7</v>
      </c>
      <c r="W36" s="55"/>
      <c r="X36" s="55">
        <v>7</v>
      </c>
      <c r="Y36" s="53" t="s">
        <v>230</v>
      </c>
      <c r="Z36" s="53" t="s">
        <v>231</v>
      </c>
      <c r="AA36" s="56"/>
      <c r="AB36" s="53"/>
      <c r="AC36" s="99"/>
      <c r="AD36" s="112"/>
      <c r="AE36" s="4"/>
      <c r="AF36" s="4" t="s">
        <v>229</v>
      </c>
      <c r="AG36" s="4"/>
      <c r="AH36" s="4"/>
    </row>
    <row r="37" spans="1:34" s="3" customFormat="1" ht="51">
      <c r="A37" s="51">
        <v>6</v>
      </c>
      <c r="B37" s="51" t="s">
        <v>218</v>
      </c>
      <c r="C37" s="55" t="s">
        <v>376</v>
      </c>
      <c r="D37" s="57" t="s">
        <v>377</v>
      </c>
      <c r="E37" s="57"/>
      <c r="F37" s="163" t="s">
        <v>378</v>
      </c>
      <c r="G37" s="163"/>
      <c r="H37" s="163" t="s">
        <v>379</v>
      </c>
      <c r="I37" s="163" t="s">
        <v>380</v>
      </c>
      <c r="J37" s="57" t="s">
        <v>381</v>
      </c>
      <c r="K37" s="57"/>
      <c r="L37" s="57" t="s">
        <v>382</v>
      </c>
      <c r="M37" s="57"/>
      <c r="N37" s="57"/>
      <c r="O37" s="57" t="s">
        <v>229</v>
      </c>
      <c r="P37" s="57"/>
      <c r="Q37" s="57">
        <v>4</v>
      </c>
      <c r="R37" s="58">
        <v>3</v>
      </c>
      <c r="S37" s="55">
        <v>38.2</v>
      </c>
      <c r="T37" s="55"/>
      <c r="U37" s="55">
        <v>38.2</v>
      </c>
      <c r="V37" s="55">
        <v>29.8</v>
      </c>
      <c r="W37" s="55"/>
      <c r="X37" s="55">
        <v>29.8</v>
      </c>
      <c r="Y37" s="53" t="s">
        <v>230</v>
      </c>
      <c r="Z37" s="53" t="s">
        <v>231</v>
      </c>
      <c r="AA37" s="56"/>
      <c r="AB37" s="53"/>
      <c r="AC37" s="99"/>
      <c r="AD37" s="112"/>
      <c r="AE37" s="4"/>
      <c r="AF37" s="4" t="s">
        <v>229</v>
      </c>
      <c r="AG37" s="4"/>
      <c r="AH37" s="4"/>
    </row>
    <row r="38" spans="1:34" s="3" customFormat="1" ht="114.75">
      <c r="A38" s="51">
        <v>7</v>
      </c>
      <c r="B38" s="51" t="s">
        <v>218</v>
      </c>
      <c r="C38" s="55" t="s">
        <v>383</v>
      </c>
      <c r="D38" s="57" t="s">
        <v>384</v>
      </c>
      <c r="E38" s="57" t="s">
        <v>385</v>
      </c>
      <c r="F38" s="57" t="s">
        <v>386</v>
      </c>
      <c r="G38" s="57"/>
      <c r="H38" s="57" t="s">
        <v>387</v>
      </c>
      <c r="I38" s="57" t="s">
        <v>387</v>
      </c>
      <c r="J38" s="57" t="s">
        <v>388</v>
      </c>
      <c r="K38" s="57"/>
      <c r="L38" s="57" t="s">
        <v>389</v>
      </c>
      <c r="M38" s="57"/>
      <c r="N38" s="57"/>
      <c r="O38" s="57"/>
      <c r="P38" s="57" t="s">
        <v>229</v>
      </c>
      <c r="Q38" s="57">
        <v>1</v>
      </c>
      <c r="R38" s="58">
        <v>1</v>
      </c>
      <c r="S38" s="55">
        <v>23.2</v>
      </c>
      <c r="T38" s="55"/>
      <c r="U38" s="55">
        <v>23.2</v>
      </c>
      <c r="V38" s="55">
        <v>23.2</v>
      </c>
      <c r="W38" s="55"/>
      <c r="X38" s="55">
        <v>23.2</v>
      </c>
      <c r="Y38" s="53" t="s">
        <v>230</v>
      </c>
      <c r="Z38" s="53" t="s">
        <v>231</v>
      </c>
      <c r="AA38" s="56"/>
      <c r="AB38" s="53"/>
      <c r="AC38" s="99"/>
      <c r="AD38" s="112"/>
      <c r="AE38" s="4"/>
      <c r="AF38" s="4" t="s">
        <v>229</v>
      </c>
      <c r="AG38" s="4"/>
      <c r="AH38" s="4"/>
    </row>
    <row r="39" spans="1:34" s="3" customFormat="1" ht="76.5">
      <c r="A39" s="146">
        <v>8</v>
      </c>
      <c r="B39" s="51" t="s">
        <v>218</v>
      </c>
      <c r="C39" s="55" t="s">
        <v>390</v>
      </c>
      <c r="D39" s="57" t="s">
        <v>384</v>
      </c>
      <c r="E39" s="57" t="s">
        <v>391</v>
      </c>
      <c r="F39" s="57" t="s">
        <v>392</v>
      </c>
      <c r="G39" s="57"/>
      <c r="H39" s="57" t="s">
        <v>393</v>
      </c>
      <c r="I39" s="57" t="s">
        <v>393</v>
      </c>
      <c r="J39" s="57" t="s">
        <v>394</v>
      </c>
      <c r="K39" s="57"/>
      <c r="L39" s="57" t="s">
        <v>382</v>
      </c>
      <c r="M39" s="57"/>
      <c r="N39" s="57"/>
      <c r="O39" s="57" t="s">
        <v>229</v>
      </c>
      <c r="P39" s="57"/>
      <c r="Q39" s="57">
        <v>3</v>
      </c>
      <c r="R39" s="58">
        <v>3</v>
      </c>
      <c r="S39" s="55">
        <v>122.6</v>
      </c>
      <c r="T39" s="55"/>
      <c r="U39" s="55">
        <v>122.6</v>
      </c>
      <c r="V39" s="55">
        <v>90.6</v>
      </c>
      <c r="W39" s="55"/>
      <c r="X39" s="55">
        <v>90.6</v>
      </c>
      <c r="Y39" s="53" t="s">
        <v>230</v>
      </c>
      <c r="Z39" s="53" t="s">
        <v>231</v>
      </c>
      <c r="AA39" s="56"/>
      <c r="AB39" s="53"/>
      <c r="AC39" s="99"/>
      <c r="AD39" s="112"/>
      <c r="AE39" s="4"/>
      <c r="AF39" s="4" t="s">
        <v>229</v>
      </c>
      <c r="AG39" s="4"/>
      <c r="AH39" s="4"/>
    </row>
    <row r="40" spans="1:34" s="3" customFormat="1" ht="51">
      <c r="A40" s="51">
        <v>9</v>
      </c>
      <c r="B40" s="51" t="s">
        <v>395</v>
      </c>
      <c r="C40" s="55" t="s">
        <v>344</v>
      </c>
      <c r="D40" s="57" t="s">
        <v>396</v>
      </c>
      <c r="E40" s="57"/>
      <c r="F40" s="57" t="s">
        <v>397</v>
      </c>
      <c r="G40" s="57"/>
      <c r="H40" s="57" t="s">
        <v>398</v>
      </c>
      <c r="I40" s="57" t="s">
        <v>398</v>
      </c>
      <c r="J40" s="57" t="s">
        <v>367</v>
      </c>
      <c r="K40" s="57"/>
      <c r="L40" s="57" t="s">
        <v>349</v>
      </c>
      <c r="M40" s="57"/>
      <c r="N40" s="57"/>
      <c r="O40" s="57"/>
      <c r="P40" s="57"/>
      <c r="Q40" s="57">
        <v>2</v>
      </c>
      <c r="R40" s="58">
        <v>2</v>
      </c>
      <c r="S40" s="55">
        <v>38.4</v>
      </c>
      <c r="T40" s="55"/>
      <c r="U40" s="55">
        <v>38.4</v>
      </c>
      <c r="V40" s="55">
        <v>35.8</v>
      </c>
      <c r="W40" s="55"/>
      <c r="X40" s="55">
        <v>35.8</v>
      </c>
      <c r="Y40" s="53" t="s">
        <v>230</v>
      </c>
      <c r="Z40" s="53" t="s">
        <v>241</v>
      </c>
      <c r="AA40" s="56" t="s">
        <v>229</v>
      </c>
      <c r="AB40" s="53"/>
      <c r="AC40" s="99"/>
      <c r="AD40" s="112"/>
      <c r="AE40" s="4"/>
      <c r="AF40" s="4" t="s">
        <v>229</v>
      </c>
      <c r="AG40" s="4"/>
      <c r="AH40" s="4"/>
    </row>
    <row r="41" spans="1:34" s="3" customFormat="1" ht="76.5">
      <c r="A41" s="51">
        <v>10</v>
      </c>
      <c r="B41" s="51" t="s">
        <v>218</v>
      </c>
      <c r="C41" s="55" t="s">
        <v>399</v>
      </c>
      <c r="D41" s="57" t="s">
        <v>400</v>
      </c>
      <c r="E41" s="57" t="s">
        <v>401</v>
      </c>
      <c r="F41" s="57" t="s">
        <v>402</v>
      </c>
      <c r="G41" s="57"/>
      <c r="H41" s="57" t="s">
        <v>403</v>
      </c>
      <c r="I41" s="57" t="s">
        <v>403</v>
      </c>
      <c r="J41" s="57" t="s">
        <v>394</v>
      </c>
      <c r="K41" s="57"/>
      <c r="L41" s="57" t="s">
        <v>375</v>
      </c>
      <c r="M41" s="57"/>
      <c r="N41" s="57"/>
      <c r="O41" s="57" t="s">
        <v>229</v>
      </c>
      <c r="P41" s="57"/>
      <c r="Q41" s="57">
        <v>3</v>
      </c>
      <c r="R41" s="58">
        <v>3</v>
      </c>
      <c r="S41" s="55">
        <v>187.4</v>
      </c>
      <c r="T41" s="55"/>
      <c r="U41" s="55">
        <v>187.4</v>
      </c>
      <c r="V41" s="55">
        <v>169.8</v>
      </c>
      <c r="W41" s="55"/>
      <c r="X41" s="55">
        <v>169.8</v>
      </c>
      <c r="Y41" s="53" t="s">
        <v>230</v>
      </c>
      <c r="Z41" s="53" t="s">
        <v>231</v>
      </c>
      <c r="AA41" s="56"/>
      <c r="AB41" s="53"/>
      <c r="AC41" s="99"/>
      <c r="AD41" s="112"/>
      <c r="AE41" s="4"/>
      <c r="AF41" s="4" t="s">
        <v>229</v>
      </c>
      <c r="AG41" s="4"/>
      <c r="AH41" s="4"/>
    </row>
    <row r="42" spans="1:34" s="3" customFormat="1" ht="38.25">
      <c r="A42" s="51">
        <v>11</v>
      </c>
      <c r="B42" s="51" t="s">
        <v>395</v>
      </c>
      <c r="C42" s="55" t="s">
        <v>344</v>
      </c>
      <c r="D42" s="57" t="s">
        <v>404</v>
      </c>
      <c r="E42" s="57" t="s">
        <v>405</v>
      </c>
      <c r="F42" s="57" t="s">
        <v>406</v>
      </c>
      <c r="G42" s="57"/>
      <c r="H42" s="57" t="s">
        <v>407</v>
      </c>
      <c r="I42" s="57" t="s">
        <v>407</v>
      </c>
      <c r="J42" s="57" t="s">
        <v>367</v>
      </c>
      <c r="K42" s="57"/>
      <c r="L42" s="57" t="s">
        <v>318</v>
      </c>
      <c r="M42" s="57"/>
      <c r="N42" s="57"/>
      <c r="O42" s="57" t="s">
        <v>229</v>
      </c>
      <c r="P42" s="57"/>
      <c r="Q42" s="57">
        <v>2</v>
      </c>
      <c r="R42" s="58">
        <v>2</v>
      </c>
      <c r="S42" s="55">
        <v>127.3</v>
      </c>
      <c r="T42" s="55"/>
      <c r="U42" s="55">
        <v>127.3</v>
      </c>
      <c r="V42" s="55">
        <v>98.4</v>
      </c>
      <c r="W42" s="55"/>
      <c r="X42" s="55">
        <v>98.4</v>
      </c>
      <c r="Y42" s="53" t="s">
        <v>230</v>
      </c>
      <c r="Z42" s="53" t="s">
        <v>241</v>
      </c>
      <c r="AA42" s="56" t="s">
        <v>229</v>
      </c>
      <c r="AB42" s="53"/>
      <c r="AC42" s="99"/>
      <c r="AD42" s="112"/>
      <c r="AE42" s="4"/>
      <c r="AF42" s="4" t="s">
        <v>229</v>
      </c>
      <c r="AG42" s="4"/>
      <c r="AH42" s="4"/>
    </row>
    <row r="43" spans="1:34" s="254" customFormat="1" ht="63.75">
      <c r="A43" s="245">
        <v>12</v>
      </c>
      <c r="B43" s="245" t="s">
        <v>218</v>
      </c>
      <c r="C43" s="246" t="s">
        <v>408</v>
      </c>
      <c r="D43" s="247" t="s">
        <v>409</v>
      </c>
      <c r="E43" s="247" t="s">
        <v>410</v>
      </c>
      <c r="F43" s="247" t="s">
        <v>411</v>
      </c>
      <c r="G43" s="247"/>
      <c r="H43" s="247" t="s">
        <v>412</v>
      </c>
      <c r="I43" s="247" t="s">
        <v>412</v>
      </c>
      <c r="J43" s="247" t="s">
        <v>413</v>
      </c>
      <c r="K43" s="247"/>
      <c r="L43" s="247" t="s">
        <v>414</v>
      </c>
      <c r="M43" s="247"/>
      <c r="N43" s="247"/>
      <c r="O43" s="247" t="s">
        <v>229</v>
      </c>
      <c r="P43" s="247"/>
      <c r="Q43" s="247">
        <v>9</v>
      </c>
      <c r="R43" s="248">
        <v>6</v>
      </c>
      <c r="S43" s="246">
        <v>400</v>
      </c>
      <c r="T43" s="246"/>
      <c r="U43" s="246">
        <v>400</v>
      </c>
      <c r="V43" s="246">
        <v>170</v>
      </c>
      <c r="W43" s="246"/>
      <c r="X43" s="246">
        <v>170</v>
      </c>
      <c r="Y43" s="249" t="s">
        <v>230</v>
      </c>
      <c r="Z43" s="249" t="s">
        <v>241</v>
      </c>
      <c r="AA43" s="250" t="s">
        <v>229</v>
      </c>
      <c r="AB43" s="249"/>
      <c r="AC43" s="251"/>
      <c r="AD43" s="252"/>
      <c r="AE43" s="253"/>
      <c r="AF43" s="253" t="s">
        <v>229</v>
      </c>
      <c r="AG43" s="253"/>
      <c r="AH43" s="253"/>
    </row>
    <row r="44" spans="1:34" s="3" customFormat="1" ht="51">
      <c r="A44" s="51">
        <v>13</v>
      </c>
      <c r="B44" s="51" t="s">
        <v>218</v>
      </c>
      <c r="C44" s="55" t="s">
        <v>415</v>
      </c>
      <c r="D44" s="57" t="s">
        <v>416</v>
      </c>
      <c r="E44" s="57" t="s">
        <v>417</v>
      </c>
      <c r="F44" s="57" t="s">
        <v>418</v>
      </c>
      <c r="G44" s="57"/>
      <c r="H44" s="57" t="s">
        <v>419</v>
      </c>
      <c r="I44" s="57" t="s">
        <v>419</v>
      </c>
      <c r="J44" s="57" t="s">
        <v>420</v>
      </c>
      <c r="K44" s="57"/>
      <c r="L44" s="57" t="s">
        <v>349</v>
      </c>
      <c r="M44" s="57"/>
      <c r="N44" s="57"/>
      <c r="O44" s="57"/>
      <c r="P44" s="57" t="s">
        <v>229</v>
      </c>
      <c r="Q44" s="57">
        <v>4</v>
      </c>
      <c r="R44" s="58">
        <v>2</v>
      </c>
      <c r="S44" s="55">
        <v>51.9</v>
      </c>
      <c r="T44" s="55"/>
      <c r="U44" s="55">
        <v>51.9</v>
      </c>
      <c r="V44" s="55">
        <v>40</v>
      </c>
      <c r="W44" s="55"/>
      <c r="X44" s="55">
        <v>40</v>
      </c>
      <c r="Y44" s="53" t="s">
        <v>230</v>
      </c>
      <c r="Z44" s="53" t="s">
        <v>241</v>
      </c>
      <c r="AA44" s="56"/>
      <c r="AB44" s="53"/>
      <c r="AC44" s="99"/>
      <c r="AD44" s="112"/>
      <c r="AE44" s="4"/>
      <c r="AF44" s="4" t="s">
        <v>229</v>
      </c>
      <c r="AG44" s="4"/>
      <c r="AH44" s="4"/>
    </row>
    <row r="45" spans="1:34" s="3" customFormat="1" ht="63.75">
      <c r="A45" s="51">
        <v>14</v>
      </c>
      <c r="B45" s="51" t="s">
        <v>218</v>
      </c>
      <c r="C45" s="55" t="s">
        <v>421</v>
      </c>
      <c r="D45" s="57" t="s">
        <v>422</v>
      </c>
      <c r="E45" s="57">
        <v>9066656666</v>
      </c>
      <c r="F45" s="57" t="s">
        <v>321</v>
      </c>
      <c r="G45" s="57" t="s">
        <v>322</v>
      </c>
      <c r="H45" s="57" t="s">
        <v>346</v>
      </c>
      <c r="I45" s="57" t="s">
        <v>346</v>
      </c>
      <c r="J45" s="57" t="s">
        <v>423</v>
      </c>
      <c r="K45" s="57"/>
      <c r="L45" s="57" t="s">
        <v>318</v>
      </c>
      <c r="M45" s="57"/>
      <c r="N45" s="57"/>
      <c r="O45" s="57"/>
      <c r="P45" s="57" t="s">
        <v>229</v>
      </c>
      <c r="Q45" s="57">
        <v>4</v>
      </c>
      <c r="R45" s="58">
        <v>2</v>
      </c>
      <c r="S45" s="55">
        <v>100</v>
      </c>
      <c r="T45" s="55"/>
      <c r="U45" s="55">
        <v>100</v>
      </c>
      <c r="V45" s="55">
        <v>90</v>
      </c>
      <c r="W45" s="55"/>
      <c r="X45" s="55">
        <v>90</v>
      </c>
      <c r="Y45" s="53" t="s">
        <v>230</v>
      </c>
      <c r="Z45" s="53" t="s">
        <v>231</v>
      </c>
      <c r="AA45" s="56" t="s">
        <v>229</v>
      </c>
      <c r="AB45" s="53"/>
      <c r="AC45" s="99"/>
      <c r="AD45" s="112"/>
      <c r="AE45" s="4"/>
      <c r="AF45" s="4" t="s">
        <v>229</v>
      </c>
      <c r="AG45" s="4"/>
      <c r="AH45" s="4"/>
    </row>
    <row r="46" spans="1:34" s="3" customFormat="1" ht="76.5">
      <c r="A46" s="51">
        <v>15</v>
      </c>
      <c r="B46" s="51" t="s">
        <v>218</v>
      </c>
      <c r="C46" s="55" t="s">
        <v>424</v>
      </c>
      <c r="D46" s="57" t="s">
        <v>384</v>
      </c>
      <c r="E46" s="57" t="s">
        <v>425</v>
      </c>
      <c r="F46" s="57" t="s">
        <v>426</v>
      </c>
      <c r="G46" s="57"/>
      <c r="H46" s="57" t="s">
        <v>427</v>
      </c>
      <c r="I46" s="57" t="s">
        <v>427</v>
      </c>
      <c r="J46" s="57" t="s">
        <v>413</v>
      </c>
      <c r="K46" s="57"/>
      <c r="L46" s="57" t="s">
        <v>428</v>
      </c>
      <c r="M46" s="57"/>
      <c r="N46" s="57"/>
      <c r="O46" s="57"/>
      <c r="P46" s="57" t="s">
        <v>229</v>
      </c>
      <c r="Q46" s="57">
        <v>4</v>
      </c>
      <c r="R46" s="58">
        <v>3</v>
      </c>
      <c r="S46" s="55">
        <v>112.9</v>
      </c>
      <c r="T46" s="55"/>
      <c r="U46" s="55">
        <v>112.9</v>
      </c>
      <c r="V46" s="55">
        <v>44</v>
      </c>
      <c r="W46" s="55"/>
      <c r="X46" s="55">
        <v>44</v>
      </c>
      <c r="Y46" s="53" t="s">
        <v>230</v>
      </c>
      <c r="Z46" s="53" t="s">
        <v>231</v>
      </c>
      <c r="AA46" s="56"/>
      <c r="AB46" s="53"/>
      <c r="AC46" s="99"/>
      <c r="AD46" s="112"/>
      <c r="AE46" s="4"/>
      <c r="AF46" s="4" t="s">
        <v>229</v>
      </c>
      <c r="AG46" s="4"/>
      <c r="AH46" s="4"/>
    </row>
    <row r="47" spans="1:34" s="3" customFormat="1" ht="76.5">
      <c r="A47" s="51">
        <v>16</v>
      </c>
      <c r="B47" s="51" t="s">
        <v>218</v>
      </c>
      <c r="C47" s="55" t="s">
        <v>429</v>
      </c>
      <c r="D47" s="57" t="s">
        <v>273</v>
      </c>
      <c r="E47" s="57" t="s">
        <v>430</v>
      </c>
      <c r="F47" s="57" t="s">
        <v>431</v>
      </c>
      <c r="G47" s="57" t="s">
        <v>432</v>
      </c>
      <c r="H47" s="57" t="s">
        <v>433</v>
      </c>
      <c r="I47" s="57" t="s">
        <v>433</v>
      </c>
      <c r="J47" s="57" t="s">
        <v>434</v>
      </c>
      <c r="K47" s="57"/>
      <c r="L47" s="57" t="s">
        <v>435</v>
      </c>
      <c r="M47" s="57"/>
      <c r="N47" s="57"/>
      <c r="O47" s="57"/>
      <c r="P47" s="57" t="s">
        <v>229</v>
      </c>
      <c r="Q47" s="57">
        <v>2</v>
      </c>
      <c r="R47" s="58">
        <v>1</v>
      </c>
      <c r="S47" s="55">
        <v>20</v>
      </c>
      <c r="T47" s="55"/>
      <c r="U47" s="55">
        <v>20</v>
      </c>
      <c r="V47" s="55">
        <v>20</v>
      </c>
      <c r="W47" s="55"/>
      <c r="X47" s="55">
        <v>20</v>
      </c>
      <c r="Y47" s="53" t="s">
        <v>230</v>
      </c>
      <c r="Z47" s="53" t="s">
        <v>231</v>
      </c>
      <c r="AA47" s="56"/>
      <c r="AB47" s="53"/>
      <c r="AC47" s="99"/>
      <c r="AD47" s="112"/>
      <c r="AE47" s="4"/>
      <c r="AF47" s="4" t="s">
        <v>229</v>
      </c>
      <c r="AG47" s="4"/>
      <c r="AH47" s="4"/>
    </row>
    <row r="48" spans="1:34" s="3" customFormat="1" ht="63.75">
      <c r="A48" s="51">
        <v>17</v>
      </c>
      <c r="B48" s="51" t="s">
        <v>218</v>
      </c>
      <c r="C48" s="55" t="s">
        <v>436</v>
      </c>
      <c r="D48" s="57" t="s">
        <v>422</v>
      </c>
      <c r="E48" s="57" t="s">
        <v>437</v>
      </c>
      <c r="F48" s="57" t="s">
        <v>321</v>
      </c>
      <c r="G48" s="57" t="s">
        <v>322</v>
      </c>
      <c r="H48" s="57" t="s">
        <v>346</v>
      </c>
      <c r="I48" s="57" t="s">
        <v>346</v>
      </c>
      <c r="J48" s="57" t="s">
        <v>438</v>
      </c>
      <c r="K48" s="57"/>
      <c r="L48" s="57" t="s">
        <v>318</v>
      </c>
      <c r="M48" s="57"/>
      <c r="N48" s="57"/>
      <c r="O48" s="57"/>
      <c r="P48" s="57" t="s">
        <v>229</v>
      </c>
      <c r="Q48" s="57">
        <v>1</v>
      </c>
      <c r="R48" s="58">
        <v>1</v>
      </c>
      <c r="S48" s="55">
        <v>16</v>
      </c>
      <c r="T48" s="55"/>
      <c r="U48" s="55">
        <v>16</v>
      </c>
      <c r="V48" s="55">
        <v>16</v>
      </c>
      <c r="W48" s="55"/>
      <c r="X48" s="55">
        <v>16</v>
      </c>
      <c r="Y48" s="53" t="s">
        <v>230</v>
      </c>
      <c r="Z48" s="53" t="s">
        <v>231</v>
      </c>
      <c r="AA48" s="56" t="s">
        <v>229</v>
      </c>
      <c r="AB48" s="53"/>
      <c r="AC48" s="99"/>
      <c r="AD48" s="112"/>
      <c r="AE48" s="4"/>
      <c r="AF48" s="4" t="s">
        <v>229</v>
      </c>
      <c r="AG48" s="4"/>
      <c r="AH48" s="4"/>
    </row>
    <row r="49" spans="1:34" s="3" customFormat="1" ht="38.25">
      <c r="A49" s="51">
        <v>18</v>
      </c>
      <c r="B49" s="51" t="s">
        <v>218</v>
      </c>
      <c r="C49" s="55" t="s">
        <v>344</v>
      </c>
      <c r="D49" s="57" t="s">
        <v>370</v>
      </c>
      <c r="E49" s="57"/>
      <c r="F49" s="57" t="s">
        <v>397</v>
      </c>
      <c r="G49" s="57"/>
      <c r="H49" s="57" t="s">
        <v>398</v>
      </c>
      <c r="I49" s="57" t="s">
        <v>398</v>
      </c>
      <c r="J49" s="57" t="s">
        <v>367</v>
      </c>
      <c r="K49" s="57"/>
      <c r="L49" s="57" t="s">
        <v>349</v>
      </c>
      <c r="M49" s="57"/>
      <c r="N49" s="57"/>
      <c r="O49" s="57" t="s">
        <v>229</v>
      </c>
      <c r="P49" s="57"/>
      <c r="Q49" s="57">
        <v>2</v>
      </c>
      <c r="R49" s="58">
        <v>2</v>
      </c>
      <c r="S49" s="55">
        <v>92.4</v>
      </c>
      <c r="T49" s="55"/>
      <c r="U49" s="55">
        <v>92.4</v>
      </c>
      <c r="V49" s="55">
        <v>41</v>
      </c>
      <c r="W49" s="55"/>
      <c r="X49" s="55">
        <v>41</v>
      </c>
      <c r="Y49" s="53" t="s">
        <v>230</v>
      </c>
      <c r="Z49" s="53" t="s">
        <v>241</v>
      </c>
      <c r="AA49" s="56" t="s">
        <v>229</v>
      </c>
      <c r="AB49" s="53"/>
      <c r="AC49" s="99"/>
      <c r="AD49" s="112"/>
      <c r="AE49" s="4"/>
      <c r="AF49" s="4" t="s">
        <v>229</v>
      </c>
      <c r="AG49" s="4"/>
      <c r="AH49" s="4"/>
    </row>
    <row r="50" spans="1:34" s="254" customFormat="1" ht="63.75">
      <c r="A50" s="245">
        <v>19</v>
      </c>
      <c r="B50" s="245" t="s">
        <v>218</v>
      </c>
      <c r="C50" s="246" t="s">
        <v>439</v>
      </c>
      <c r="D50" s="247" t="s">
        <v>440</v>
      </c>
      <c r="E50" s="247" t="s">
        <v>441</v>
      </c>
      <c r="F50" s="247" t="s">
        <v>442</v>
      </c>
      <c r="G50" s="247" t="s">
        <v>443</v>
      </c>
      <c r="H50" s="247" t="s">
        <v>444</v>
      </c>
      <c r="I50" s="247" t="s">
        <v>444</v>
      </c>
      <c r="J50" s="247" t="s">
        <v>413</v>
      </c>
      <c r="K50" s="247"/>
      <c r="L50" s="247" t="s">
        <v>318</v>
      </c>
      <c r="M50" s="247"/>
      <c r="N50" s="247"/>
      <c r="O50" s="247"/>
      <c r="P50" s="247"/>
      <c r="Q50" s="247">
        <v>10</v>
      </c>
      <c r="R50" s="248">
        <v>8</v>
      </c>
      <c r="S50" s="246">
        <v>445.3</v>
      </c>
      <c r="T50" s="246"/>
      <c r="U50" s="246">
        <v>445.3</v>
      </c>
      <c r="V50" s="246">
        <v>191.3</v>
      </c>
      <c r="W50" s="246"/>
      <c r="X50" s="246">
        <v>191.3</v>
      </c>
      <c r="Y50" s="249" t="s">
        <v>230</v>
      </c>
      <c r="Z50" s="249" t="s">
        <v>241</v>
      </c>
      <c r="AA50" s="250"/>
      <c r="AB50" s="249"/>
      <c r="AC50" s="251"/>
      <c r="AD50" s="252"/>
      <c r="AE50" s="253" t="s">
        <v>229</v>
      </c>
      <c r="AF50" s="253" t="s">
        <v>229</v>
      </c>
      <c r="AG50" s="253"/>
      <c r="AH50" s="253"/>
    </row>
    <row r="51" spans="1:34" s="3" customFormat="1" ht="38.25">
      <c r="A51" s="51">
        <v>20</v>
      </c>
      <c r="B51" s="51" t="s">
        <v>218</v>
      </c>
      <c r="C51" s="55" t="s">
        <v>445</v>
      </c>
      <c r="D51" s="57" t="s">
        <v>273</v>
      </c>
      <c r="E51" s="57" t="s">
        <v>294</v>
      </c>
      <c r="F51" s="57" t="s">
        <v>295</v>
      </c>
      <c r="G51" s="57"/>
      <c r="H51" s="57" t="s">
        <v>296</v>
      </c>
      <c r="I51" s="57" t="s">
        <v>296</v>
      </c>
      <c r="J51" s="57" t="s">
        <v>446</v>
      </c>
      <c r="K51" s="57"/>
      <c r="L51" s="57" t="s">
        <v>349</v>
      </c>
      <c r="M51" s="57"/>
      <c r="N51" s="57"/>
      <c r="O51" s="57"/>
      <c r="P51" s="57"/>
      <c r="Q51" s="57">
        <v>1</v>
      </c>
      <c r="R51" s="58">
        <v>1</v>
      </c>
      <c r="S51" s="55">
        <v>36</v>
      </c>
      <c r="T51" s="55"/>
      <c r="U51" s="55">
        <v>36</v>
      </c>
      <c r="V51" s="55">
        <v>24</v>
      </c>
      <c r="W51" s="55"/>
      <c r="X51" s="55">
        <v>24</v>
      </c>
      <c r="Y51" s="53" t="s">
        <v>230</v>
      </c>
      <c r="Z51" s="53" t="s">
        <v>231</v>
      </c>
      <c r="AA51" s="56" t="s">
        <v>229</v>
      </c>
      <c r="AB51" s="53"/>
      <c r="AC51" s="99"/>
      <c r="AD51" s="112"/>
      <c r="AE51" s="4"/>
      <c r="AF51" s="4" t="s">
        <v>229</v>
      </c>
      <c r="AG51" s="4"/>
      <c r="AH51" s="4"/>
    </row>
    <row r="52" spans="1:34" s="3" customFormat="1" ht="38.25">
      <c r="A52" s="51">
        <v>21</v>
      </c>
      <c r="B52" s="51" t="s">
        <v>218</v>
      </c>
      <c r="C52" s="55" t="s">
        <v>447</v>
      </c>
      <c r="D52" s="57" t="s">
        <v>448</v>
      </c>
      <c r="E52" s="57" t="s">
        <v>449</v>
      </c>
      <c r="F52" s="57" t="s">
        <v>450</v>
      </c>
      <c r="G52" s="57"/>
      <c r="H52" s="57" t="s">
        <v>451</v>
      </c>
      <c r="I52" s="57" t="s">
        <v>451</v>
      </c>
      <c r="J52" s="57" t="s">
        <v>452</v>
      </c>
      <c r="K52" s="57"/>
      <c r="L52" s="57" t="s">
        <v>349</v>
      </c>
      <c r="M52" s="57"/>
      <c r="N52" s="57"/>
      <c r="O52" s="57" t="s">
        <v>229</v>
      </c>
      <c r="P52" s="57"/>
      <c r="Q52" s="57">
        <v>3</v>
      </c>
      <c r="R52" s="58">
        <v>2</v>
      </c>
      <c r="S52" s="55">
        <v>220</v>
      </c>
      <c r="T52" s="55"/>
      <c r="U52" s="55">
        <v>220</v>
      </c>
      <c r="V52" s="55">
        <v>50</v>
      </c>
      <c r="W52" s="55"/>
      <c r="X52" s="55">
        <v>50</v>
      </c>
      <c r="Y52" s="53" t="s">
        <v>230</v>
      </c>
      <c r="Z52" s="53" t="s">
        <v>241</v>
      </c>
      <c r="AA52" s="56"/>
      <c r="AB52" s="53"/>
      <c r="AC52" s="99"/>
      <c r="AD52" s="112"/>
      <c r="AE52" s="4"/>
      <c r="AF52" s="4" t="s">
        <v>229</v>
      </c>
      <c r="AG52" s="4"/>
      <c r="AH52" s="4"/>
    </row>
    <row r="53" spans="1:34" s="3" customFormat="1" ht="38.25">
      <c r="A53" s="51">
        <v>22</v>
      </c>
      <c r="B53" s="51" t="s">
        <v>218</v>
      </c>
      <c r="C53" s="55" t="s">
        <v>453</v>
      </c>
      <c r="D53" s="57" t="s">
        <v>273</v>
      </c>
      <c r="E53" s="57" t="s">
        <v>454</v>
      </c>
      <c r="F53" s="57" t="s">
        <v>455</v>
      </c>
      <c r="G53" s="57"/>
      <c r="H53" s="57" t="s">
        <v>456</v>
      </c>
      <c r="I53" s="57" t="s">
        <v>456</v>
      </c>
      <c r="J53" s="57" t="s">
        <v>457</v>
      </c>
      <c r="K53" s="57"/>
      <c r="L53" s="57" t="s">
        <v>458</v>
      </c>
      <c r="M53" s="57"/>
      <c r="N53" s="57"/>
      <c r="O53" s="57"/>
      <c r="P53" s="57" t="s">
        <v>229</v>
      </c>
      <c r="Q53" s="57">
        <v>1</v>
      </c>
      <c r="R53" s="58">
        <v>1</v>
      </c>
      <c r="S53" s="55">
        <v>13.8</v>
      </c>
      <c r="T53" s="55"/>
      <c r="U53" s="55">
        <v>13.8</v>
      </c>
      <c r="V53" s="55">
        <v>13.8</v>
      </c>
      <c r="W53" s="55"/>
      <c r="X53" s="55">
        <v>13.8</v>
      </c>
      <c r="Y53" s="53" t="s">
        <v>230</v>
      </c>
      <c r="Z53" s="53" t="s">
        <v>231</v>
      </c>
      <c r="AA53" s="56"/>
      <c r="AB53" s="53"/>
      <c r="AC53" s="99"/>
      <c r="AD53" s="112"/>
      <c r="AE53" s="4"/>
      <c r="AF53" s="4" t="s">
        <v>229</v>
      </c>
      <c r="AG53" s="4"/>
      <c r="AH53" s="4"/>
    </row>
    <row r="54" spans="1:34" s="3" customFormat="1" ht="63.75">
      <c r="A54" s="51">
        <v>23</v>
      </c>
      <c r="B54" s="51" t="s">
        <v>218</v>
      </c>
      <c r="C54" s="55" t="s">
        <v>459</v>
      </c>
      <c r="D54" s="57" t="s">
        <v>460</v>
      </c>
      <c r="E54" s="57" t="s">
        <v>461</v>
      </c>
      <c r="F54" s="57" t="s">
        <v>462</v>
      </c>
      <c r="G54" s="57"/>
      <c r="H54" s="57" t="s">
        <v>463</v>
      </c>
      <c r="I54" s="57" t="s">
        <v>463</v>
      </c>
      <c r="J54" s="57" t="s">
        <v>464</v>
      </c>
      <c r="K54" s="57"/>
      <c r="L54" s="57" t="s">
        <v>375</v>
      </c>
      <c r="M54" s="57"/>
      <c r="N54" s="57"/>
      <c r="O54" s="57"/>
      <c r="P54" s="57" t="s">
        <v>229</v>
      </c>
      <c r="Q54" s="57">
        <v>1</v>
      </c>
      <c r="R54" s="58">
        <v>1</v>
      </c>
      <c r="S54" s="55">
        <v>19</v>
      </c>
      <c r="T54" s="55"/>
      <c r="U54" s="55">
        <v>19</v>
      </c>
      <c r="V54" s="55">
        <v>19</v>
      </c>
      <c r="W54" s="55"/>
      <c r="X54" s="55">
        <v>19</v>
      </c>
      <c r="Y54" s="53" t="s">
        <v>230</v>
      </c>
      <c r="Z54" s="53" t="s">
        <v>231</v>
      </c>
      <c r="AA54" s="56"/>
      <c r="AB54" s="53"/>
      <c r="AC54" s="99"/>
      <c r="AD54" s="112"/>
      <c r="AE54" s="4"/>
      <c r="AF54" s="4" t="s">
        <v>229</v>
      </c>
      <c r="AG54" s="4"/>
      <c r="AH54" s="4"/>
    </row>
    <row r="55" spans="1:34" s="3" customFormat="1" ht="38.25">
      <c r="A55" s="51">
        <v>24</v>
      </c>
      <c r="B55" s="51" t="s">
        <v>218</v>
      </c>
      <c r="C55" s="55" t="s">
        <v>465</v>
      </c>
      <c r="D55" s="57" t="s">
        <v>273</v>
      </c>
      <c r="E55" s="57" t="s">
        <v>466</v>
      </c>
      <c r="F55" s="57" t="s">
        <v>467</v>
      </c>
      <c r="G55" s="57"/>
      <c r="H55" s="57" t="s">
        <v>468</v>
      </c>
      <c r="I55" s="57" t="s">
        <v>468</v>
      </c>
      <c r="J55" s="57" t="s">
        <v>469</v>
      </c>
      <c r="K55" s="57"/>
      <c r="L55" s="57" t="s">
        <v>318</v>
      </c>
      <c r="M55" s="57"/>
      <c r="N55" s="57"/>
      <c r="O55" s="57"/>
      <c r="P55" s="57" t="s">
        <v>229</v>
      </c>
      <c r="Q55" s="57">
        <v>3</v>
      </c>
      <c r="R55" s="58">
        <v>2</v>
      </c>
      <c r="S55" s="55">
        <v>36</v>
      </c>
      <c r="T55" s="55"/>
      <c r="U55" s="55">
        <v>36</v>
      </c>
      <c r="V55" s="55">
        <v>16</v>
      </c>
      <c r="W55" s="55"/>
      <c r="X55" s="55">
        <v>16</v>
      </c>
      <c r="Y55" s="53" t="s">
        <v>230</v>
      </c>
      <c r="Z55" s="53" t="s">
        <v>231</v>
      </c>
      <c r="AA55" s="56"/>
      <c r="AB55" s="53"/>
      <c r="AC55" s="99"/>
      <c r="AD55" s="112"/>
      <c r="AE55" s="4"/>
      <c r="AF55" s="4" t="s">
        <v>229</v>
      </c>
      <c r="AG55" s="4"/>
      <c r="AH55" s="4"/>
    </row>
    <row r="56" spans="1:34" s="3" customFormat="1" ht="63.75">
      <c r="A56" s="51">
        <v>25</v>
      </c>
      <c r="B56" s="51" t="s">
        <v>218</v>
      </c>
      <c r="C56" s="55" t="s">
        <v>470</v>
      </c>
      <c r="D56" s="57" t="s">
        <v>273</v>
      </c>
      <c r="E56" s="57"/>
      <c r="F56" s="57" t="s">
        <v>471</v>
      </c>
      <c r="G56" s="57"/>
      <c r="H56" s="57" t="s">
        <v>472</v>
      </c>
      <c r="I56" s="57" t="s">
        <v>472</v>
      </c>
      <c r="J56" s="57" t="s">
        <v>473</v>
      </c>
      <c r="K56" s="57"/>
      <c r="L56" s="57" t="s">
        <v>474</v>
      </c>
      <c r="M56" s="57"/>
      <c r="N56" s="57"/>
      <c r="O56" s="57" t="s">
        <v>229</v>
      </c>
      <c r="P56" s="57"/>
      <c r="Q56" s="57">
        <v>1</v>
      </c>
      <c r="R56" s="58">
        <v>1</v>
      </c>
      <c r="S56" s="55">
        <v>40</v>
      </c>
      <c r="T56" s="55"/>
      <c r="U56" s="55">
        <v>40</v>
      </c>
      <c r="V56" s="55">
        <v>34</v>
      </c>
      <c r="W56" s="55"/>
      <c r="X56" s="55">
        <v>34</v>
      </c>
      <c r="Y56" s="53" t="s">
        <v>230</v>
      </c>
      <c r="Z56" s="53" t="s">
        <v>231</v>
      </c>
      <c r="AA56" s="56"/>
      <c r="AB56" s="53"/>
      <c r="AC56" s="99"/>
      <c r="AD56" s="112"/>
      <c r="AE56" s="4"/>
      <c r="AF56" s="4" t="s">
        <v>229</v>
      </c>
      <c r="AG56" s="4"/>
      <c r="AH56" s="4"/>
    </row>
    <row r="57" spans="1:34" s="3" customFormat="1" ht="38.25">
      <c r="A57" s="51">
        <v>26</v>
      </c>
      <c r="B57" s="51" t="s">
        <v>218</v>
      </c>
      <c r="C57" s="55" t="s">
        <v>475</v>
      </c>
      <c r="D57" s="57" t="s">
        <v>377</v>
      </c>
      <c r="E57" s="57" t="s">
        <v>476</v>
      </c>
      <c r="F57" s="57" t="s">
        <v>477</v>
      </c>
      <c r="G57" s="57"/>
      <c r="H57" s="57" t="s">
        <v>478</v>
      </c>
      <c r="I57" s="57" t="s">
        <v>478</v>
      </c>
      <c r="J57" s="57" t="s">
        <v>479</v>
      </c>
      <c r="K57" s="57"/>
      <c r="L57" s="57" t="s">
        <v>318</v>
      </c>
      <c r="M57" s="57"/>
      <c r="N57" s="57"/>
      <c r="O57" s="57"/>
      <c r="P57" s="57"/>
      <c r="Q57" s="57">
        <v>1</v>
      </c>
      <c r="R57" s="58">
        <v>1</v>
      </c>
      <c r="S57" s="55">
        <v>21</v>
      </c>
      <c r="T57" s="55"/>
      <c r="U57" s="55">
        <v>21</v>
      </c>
      <c r="V57" s="55">
        <v>18</v>
      </c>
      <c r="W57" s="55"/>
      <c r="X57" s="55">
        <v>18</v>
      </c>
      <c r="Y57" s="53" t="s">
        <v>230</v>
      </c>
      <c r="Z57" s="53" t="s">
        <v>231</v>
      </c>
      <c r="AA57" s="56"/>
      <c r="AB57" s="53"/>
      <c r="AC57" s="99"/>
      <c r="AD57" s="112"/>
      <c r="AE57" s="4"/>
      <c r="AF57" s="4" t="s">
        <v>229</v>
      </c>
      <c r="AG57" s="4"/>
      <c r="AH57" s="4"/>
    </row>
    <row r="58" spans="1:34" s="254" customFormat="1" ht="76.5">
      <c r="A58" s="245">
        <v>27</v>
      </c>
      <c r="B58" s="245" t="s">
        <v>218</v>
      </c>
      <c r="C58" s="246" t="s">
        <v>480</v>
      </c>
      <c r="D58" s="247" t="s">
        <v>481</v>
      </c>
      <c r="E58" s="247" t="s">
        <v>482</v>
      </c>
      <c r="F58" s="247" t="s">
        <v>483</v>
      </c>
      <c r="G58" s="247" t="s">
        <v>484</v>
      </c>
      <c r="H58" s="247" t="s">
        <v>271</v>
      </c>
      <c r="I58" s="247" t="s">
        <v>271</v>
      </c>
      <c r="J58" s="247" t="s">
        <v>485</v>
      </c>
      <c r="K58" s="247"/>
      <c r="L58" s="247" t="s">
        <v>382</v>
      </c>
      <c r="M58" s="247"/>
      <c r="N58" s="247"/>
      <c r="O58" s="247"/>
      <c r="P58" s="247" t="s">
        <v>229</v>
      </c>
      <c r="Q58" s="247">
        <v>14</v>
      </c>
      <c r="R58" s="248">
        <v>9</v>
      </c>
      <c r="S58" s="246">
        <v>540</v>
      </c>
      <c r="T58" s="246"/>
      <c r="U58" s="246">
        <v>540</v>
      </c>
      <c r="V58" s="246">
        <v>280</v>
      </c>
      <c r="W58" s="246"/>
      <c r="X58" s="246">
        <v>280</v>
      </c>
      <c r="Y58" s="249" t="s">
        <v>230</v>
      </c>
      <c r="Z58" s="249" t="s">
        <v>241</v>
      </c>
      <c r="AA58" s="250" t="s">
        <v>229</v>
      </c>
      <c r="AB58" s="249"/>
      <c r="AC58" s="251"/>
      <c r="AD58" s="252"/>
      <c r="AE58" s="253"/>
      <c r="AF58" s="253" t="s">
        <v>229</v>
      </c>
      <c r="AG58" s="253"/>
      <c r="AH58" s="253"/>
    </row>
    <row r="59" spans="1:34" s="3" customFormat="1" ht="63.75">
      <c r="A59" s="51">
        <v>28</v>
      </c>
      <c r="B59" s="51" t="s">
        <v>218</v>
      </c>
      <c r="C59" s="55" t="s">
        <v>486</v>
      </c>
      <c r="D59" s="57" t="s">
        <v>487</v>
      </c>
      <c r="E59" s="57" t="s">
        <v>488</v>
      </c>
      <c r="F59" s="57" t="s">
        <v>222</v>
      </c>
      <c r="G59" s="57" t="s">
        <v>223</v>
      </c>
      <c r="H59" s="57" t="s">
        <v>224</v>
      </c>
      <c r="I59" s="57" t="s">
        <v>224</v>
      </c>
      <c r="J59" s="57" t="s">
        <v>489</v>
      </c>
      <c r="K59" s="57"/>
      <c r="L59" s="57" t="s">
        <v>318</v>
      </c>
      <c r="M59" s="57"/>
      <c r="N59" s="57"/>
      <c r="O59" s="57"/>
      <c r="P59" s="57"/>
      <c r="Q59" s="57">
        <v>4</v>
      </c>
      <c r="R59" s="58">
        <v>3</v>
      </c>
      <c r="S59" s="55">
        <v>147.2</v>
      </c>
      <c r="T59" s="55"/>
      <c r="U59" s="55">
        <v>147.2</v>
      </c>
      <c r="V59" s="55">
        <v>120</v>
      </c>
      <c r="W59" s="55"/>
      <c r="X59" s="55">
        <v>120</v>
      </c>
      <c r="Y59" s="53" t="s">
        <v>230</v>
      </c>
      <c r="Z59" s="53" t="s">
        <v>241</v>
      </c>
      <c r="AA59" s="56" t="s">
        <v>229</v>
      </c>
      <c r="AB59" s="53"/>
      <c r="AC59" s="99"/>
      <c r="AD59" s="112"/>
      <c r="AE59" s="4"/>
      <c r="AF59" s="4" t="s">
        <v>229</v>
      </c>
      <c r="AG59" s="4"/>
      <c r="AH59" s="4"/>
    </row>
    <row r="60" spans="1:34" s="3" customFormat="1" ht="63.75">
      <c r="A60" s="51">
        <v>29</v>
      </c>
      <c r="B60" s="51" t="s">
        <v>218</v>
      </c>
      <c r="C60" s="55" t="s">
        <v>490</v>
      </c>
      <c r="D60" s="57" t="s">
        <v>491</v>
      </c>
      <c r="E60" s="57">
        <v>89103030060</v>
      </c>
      <c r="F60" s="57" t="s">
        <v>492</v>
      </c>
      <c r="G60" s="57" t="s">
        <v>493</v>
      </c>
      <c r="H60" s="57" t="s">
        <v>494</v>
      </c>
      <c r="I60" s="57" t="s">
        <v>495</v>
      </c>
      <c r="J60" s="57" t="s">
        <v>489</v>
      </c>
      <c r="K60" s="57"/>
      <c r="L60" s="57" t="s">
        <v>496</v>
      </c>
      <c r="M60" s="57"/>
      <c r="N60" s="57"/>
      <c r="O60" s="57"/>
      <c r="P60" s="57" t="s">
        <v>229</v>
      </c>
      <c r="Q60" s="57">
        <v>1</v>
      </c>
      <c r="R60" s="58">
        <v>1</v>
      </c>
      <c r="S60" s="55">
        <v>65</v>
      </c>
      <c r="T60" s="55"/>
      <c r="U60" s="55">
        <v>65</v>
      </c>
      <c r="V60" s="55">
        <v>35</v>
      </c>
      <c r="W60" s="55"/>
      <c r="X60" s="55">
        <v>35</v>
      </c>
      <c r="Y60" s="53" t="s">
        <v>230</v>
      </c>
      <c r="Z60" s="53" t="s">
        <v>343</v>
      </c>
      <c r="AA60" s="56"/>
      <c r="AB60" s="53"/>
      <c r="AC60" s="99"/>
      <c r="AD60" s="112"/>
      <c r="AE60" s="4"/>
      <c r="AF60" s="4" t="s">
        <v>229</v>
      </c>
      <c r="AG60" s="4"/>
      <c r="AH60" s="4"/>
    </row>
    <row r="61" spans="1:34" s="3" customFormat="1" ht="63.75">
      <c r="A61" s="51">
        <v>30</v>
      </c>
      <c r="B61" s="51" t="s">
        <v>218</v>
      </c>
      <c r="C61" s="55" t="s">
        <v>497</v>
      </c>
      <c r="D61" s="57" t="s">
        <v>498</v>
      </c>
      <c r="E61" s="57">
        <v>89155035528</v>
      </c>
      <c r="F61" s="57" t="s">
        <v>499</v>
      </c>
      <c r="G61" s="57" t="s">
        <v>500</v>
      </c>
      <c r="H61" s="57" t="s">
        <v>499</v>
      </c>
      <c r="I61" s="57" t="s">
        <v>499</v>
      </c>
      <c r="J61" s="57" t="s">
        <v>501</v>
      </c>
      <c r="K61" s="57"/>
      <c r="L61" s="57" t="s">
        <v>502</v>
      </c>
      <c r="M61" s="57"/>
      <c r="N61" s="57"/>
      <c r="O61" s="57"/>
      <c r="P61" s="57" t="s">
        <v>229</v>
      </c>
      <c r="Q61" s="57">
        <v>1</v>
      </c>
      <c r="R61" s="58">
        <v>1</v>
      </c>
      <c r="S61" s="55">
        <v>65</v>
      </c>
      <c r="T61" s="55"/>
      <c r="U61" s="55">
        <v>65</v>
      </c>
      <c r="V61" s="55">
        <v>17</v>
      </c>
      <c r="W61" s="55"/>
      <c r="X61" s="55">
        <v>17</v>
      </c>
      <c r="Y61" s="53" t="s">
        <v>230</v>
      </c>
      <c r="Z61" s="53" t="s">
        <v>343</v>
      </c>
      <c r="AA61" s="56"/>
      <c r="AB61" s="53"/>
      <c r="AC61" s="99"/>
      <c r="AD61" s="112"/>
      <c r="AE61" s="4"/>
      <c r="AF61" s="4" t="s">
        <v>229</v>
      </c>
      <c r="AG61" s="4"/>
      <c r="AH61" s="4"/>
    </row>
    <row r="62" spans="1:34" s="3" customFormat="1" ht="63.75">
      <c r="A62" s="51">
        <v>31</v>
      </c>
      <c r="B62" s="51" t="s">
        <v>218</v>
      </c>
      <c r="C62" s="55" t="s">
        <v>503</v>
      </c>
      <c r="D62" s="57" t="s">
        <v>384</v>
      </c>
      <c r="E62" s="57"/>
      <c r="F62" s="57" t="s">
        <v>504</v>
      </c>
      <c r="G62" s="57" t="s">
        <v>505</v>
      </c>
      <c r="H62" s="57" t="s">
        <v>506</v>
      </c>
      <c r="I62" s="57" t="s">
        <v>506</v>
      </c>
      <c r="J62" s="57" t="s">
        <v>507</v>
      </c>
      <c r="K62" s="57"/>
      <c r="L62" s="57" t="s">
        <v>508</v>
      </c>
      <c r="M62" s="57"/>
      <c r="N62" s="57"/>
      <c r="O62" s="57"/>
      <c r="P62" s="57" t="s">
        <v>229</v>
      </c>
      <c r="Q62" s="57">
        <v>1</v>
      </c>
      <c r="R62" s="58">
        <v>1</v>
      </c>
      <c r="S62" s="55">
        <v>37</v>
      </c>
      <c r="T62" s="55"/>
      <c r="U62" s="55">
        <v>37</v>
      </c>
      <c r="V62" s="55">
        <v>20</v>
      </c>
      <c r="W62" s="55"/>
      <c r="X62" s="55">
        <v>20</v>
      </c>
      <c r="Y62" s="53" t="s">
        <v>230</v>
      </c>
      <c r="Z62" s="53" t="s">
        <v>231</v>
      </c>
      <c r="AA62" s="56"/>
      <c r="AB62" s="53"/>
      <c r="AC62" s="99"/>
      <c r="AD62" s="112"/>
      <c r="AE62" s="4"/>
      <c r="AF62" s="4" t="s">
        <v>229</v>
      </c>
      <c r="AG62" s="4"/>
      <c r="AH62" s="4"/>
    </row>
    <row r="63" spans="1:34" s="3" customFormat="1" ht="76.5">
      <c r="A63" s="51">
        <v>32</v>
      </c>
      <c r="B63" s="51" t="s">
        <v>218</v>
      </c>
      <c r="C63" s="55" t="s">
        <v>509</v>
      </c>
      <c r="D63" s="57" t="s">
        <v>505</v>
      </c>
      <c r="E63" s="57"/>
      <c r="F63" s="57" t="s">
        <v>510</v>
      </c>
      <c r="G63" s="57" t="s">
        <v>511</v>
      </c>
      <c r="H63" s="57" t="s">
        <v>512</v>
      </c>
      <c r="I63" s="57" t="s">
        <v>512</v>
      </c>
      <c r="J63" s="57" t="s">
        <v>513</v>
      </c>
      <c r="K63" s="57"/>
      <c r="L63" s="57" t="s">
        <v>514</v>
      </c>
      <c r="M63" s="57"/>
      <c r="N63" s="57"/>
      <c r="O63" s="57"/>
      <c r="P63" s="57" t="s">
        <v>229</v>
      </c>
      <c r="Q63" s="57">
        <v>2</v>
      </c>
      <c r="R63" s="58">
        <v>2</v>
      </c>
      <c r="S63" s="55">
        <v>70</v>
      </c>
      <c r="T63" s="55"/>
      <c r="U63" s="55">
        <v>70</v>
      </c>
      <c r="V63" s="55">
        <v>60</v>
      </c>
      <c r="W63" s="55"/>
      <c r="X63" s="55">
        <v>60</v>
      </c>
      <c r="Y63" s="53" t="s">
        <v>230</v>
      </c>
      <c r="Z63" s="53" t="s">
        <v>241</v>
      </c>
      <c r="AA63" s="56"/>
      <c r="AB63" s="53" t="s">
        <v>229</v>
      </c>
      <c r="AC63" s="99"/>
      <c r="AD63" s="112"/>
      <c r="AE63" s="4"/>
      <c r="AF63" s="4" t="s">
        <v>229</v>
      </c>
      <c r="AG63" s="4"/>
      <c r="AH63" s="4"/>
    </row>
    <row r="64" spans="1:34" s="3" customFormat="1" ht="18.75">
      <c r="A64" s="51"/>
      <c r="B64" s="51"/>
      <c r="C64" s="55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8"/>
      <c r="S64" s="55"/>
      <c r="T64" s="55"/>
      <c r="U64" s="55"/>
      <c r="V64" s="55"/>
      <c r="W64" s="55"/>
      <c r="X64" s="55"/>
      <c r="Y64" s="53"/>
      <c r="Z64" s="53"/>
      <c r="AA64" s="56"/>
      <c r="AB64" s="53"/>
      <c r="AC64" s="99"/>
      <c r="AD64" s="112"/>
      <c r="AE64" s="4"/>
      <c r="AF64" s="4"/>
      <c r="AG64" s="4"/>
      <c r="AH64" s="4"/>
    </row>
    <row r="65" spans="1:34" s="50" customFormat="1" ht="39.75">
      <c r="A65" s="23"/>
      <c r="B65" s="23"/>
      <c r="C65" s="24" t="s">
        <v>67</v>
      </c>
      <c r="D65" s="24" t="s">
        <v>27</v>
      </c>
      <c r="E65" s="61"/>
      <c r="F65" s="39"/>
      <c r="G65" s="62">
        <f>COUNTIF(C32:C64,"*")</f>
        <v>32</v>
      </c>
      <c r="H65" s="62"/>
      <c r="I65" s="62"/>
      <c r="J65" s="62"/>
      <c r="K65" s="62"/>
      <c r="L65" s="23"/>
      <c r="M65" s="23">
        <f>COUNTIF(M32:M64,"*")</f>
        <v>0</v>
      </c>
      <c r="N65" s="23">
        <f>COUNTIF(N32:N64,"*")</f>
        <v>0</v>
      </c>
      <c r="O65" s="23">
        <f>COUNTIF(O32:O64,"*")</f>
        <v>10</v>
      </c>
      <c r="P65" s="23">
        <f>COUNTIF(P32:P64,"*")</f>
        <v>17</v>
      </c>
      <c r="Q65" s="23">
        <f aca="true" t="shared" si="1" ref="Q65:X65">IF(SUM(Q32:Q64)&gt;0,SUM(Q32:Q64)," ")</f>
        <v>100</v>
      </c>
      <c r="R65" s="23">
        <f t="shared" si="1"/>
        <v>77</v>
      </c>
      <c r="S65" s="23">
        <f t="shared" si="1"/>
        <v>3431.0000000000005</v>
      </c>
      <c r="T65" s="23" t="str">
        <f t="shared" si="1"/>
        <v> </v>
      </c>
      <c r="U65" s="23">
        <f t="shared" si="1"/>
        <v>3431.0000000000005</v>
      </c>
      <c r="V65" s="23">
        <f t="shared" si="1"/>
        <v>2019.1</v>
      </c>
      <c r="W65" s="23" t="str">
        <f t="shared" si="1"/>
        <v> </v>
      </c>
      <c r="X65" s="23">
        <f t="shared" si="1"/>
        <v>2019.1</v>
      </c>
      <c r="Y65" s="63"/>
      <c r="Z65" s="63"/>
      <c r="AA65" s="24">
        <f>COUNTIF(AA32:AA64,"*")</f>
        <v>9</v>
      </c>
      <c r="AB65" s="23">
        <f>COUNTIF(AB32:AB64,"*")</f>
        <v>1</v>
      </c>
      <c r="AC65" s="23">
        <f>COUNTIF(AC32:AC64,"*")</f>
        <v>0</v>
      </c>
      <c r="AD65" s="24">
        <f>COUNTIF(AD32:AD64,"*")</f>
        <v>0</v>
      </c>
      <c r="AE65" s="23">
        <v>1</v>
      </c>
      <c r="AF65" s="23">
        <v>32</v>
      </c>
      <c r="AG65" s="23">
        <v>0</v>
      </c>
      <c r="AH65" s="23">
        <v>0</v>
      </c>
    </row>
    <row r="66" spans="1:34" s="21" customFormat="1" ht="18.75">
      <c r="A66" s="16" t="s">
        <v>16</v>
      </c>
      <c r="B66" s="16"/>
      <c r="C66" s="17" t="s">
        <v>17</v>
      </c>
      <c r="D66" s="18"/>
      <c r="E66" s="18"/>
      <c r="F66" s="18"/>
      <c r="G66" s="18" t="s">
        <v>17</v>
      </c>
      <c r="H66" s="18"/>
      <c r="I66" s="18"/>
      <c r="J66" s="18"/>
      <c r="K66" s="18" t="s">
        <v>17</v>
      </c>
      <c r="L66" s="18"/>
      <c r="M66" s="18"/>
      <c r="N66" s="18"/>
      <c r="O66" s="18"/>
      <c r="P66" s="19"/>
      <c r="Q66" s="19"/>
      <c r="R66" s="19"/>
      <c r="S66" s="19" t="s">
        <v>17</v>
      </c>
      <c r="T66" s="19"/>
      <c r="U66" s="19"/>
      <c r="V66" s="19"/>
      <c r="W66" s="19"/>
      <c r="X66" s="19"/>
      <c r="Y66" s="25"/>
      <c r="AB66" s="26"/>
      <c r="AE66" s="153"/>
      <c r="AF66" s="153"/>
      <c r="AG66" s="153"/>
      <c r="AH66" s="153"/>
    </row>
    <row r="67" spans="1:34" s="21" customFormat="1" ht="52.5">
      <c r="A67" s="5">
        <v>14</v>
      </c>
      <c r="B67" s="5" t="s">
        <v>578</v>
      </c>
      <c r="C67" s="5" t="s">
        <v>260</v>
      </c>
      <c r="D67" s="5" t="s">
        <v>579</v>
      </c>
      <c r="E67" s="135">
        <v>9066637750</v>
      </c>
      <c r="F67" s="5" t="s">
        <v>580</v>
      </c>
      <c r="G67" s="5" t="s">
        <v>581</v>
      </c>
      <c r="H67" s="5" t="s">
        <v>582</v>
      </c>
      <c r="I67" s="5" t="s">
        <v>582</v>
      </c>
      <c r="J67" s="5" t="s">
        <v>576</v>
      </c>
      <c r="K67" s="5"/>
      <c r="L67" s="5" t="s">
        <v>508</v>
      </c>
      <c r="M67" s="5" t="s">
        <v>229</v>
      </c>
      <c r="N67" s="5"/>
      <c r="O67" s="5" t="s">
        <v>229</v>
      </c>
      <c r="P67" s="5"/>
      <c r="Q67" s="5">
        <v>1</v>
      </c>
      <c r="R67" s="5">
        <v>1</v>
      </c>
      <c r="S67" s="5">
        <v>83.5</v>
      </c>
      <c r="T67" s="5">
        <v>77.9</v>
      </c>
      <c r="U67" s="5">
        <v>5.6</v>
      </c>
      <c r="V67" s="5">
        <v>48.6</v>
      </c>
      <c r="W67" s="5">
        <v>43</v>
      </c>
      <c r="X67" s="5">
        <v>5.6</v>
      </c>
      <c r="Y67" s="53" t="s">
        <v>230</v>
      </c>
      <c r="Z67" s="53" t="s">
        <v>241</v>
      </c>
      <c r="AA67" s="56"/>
      <c r="AB67" s="53"/>
      <c r="AC67" s="26"/>
      <c r="AD67" s="26">
        <v>50</v>
      </c>
      <c r="AE67" s="22"/>
      <c r="AF67" s="22" t="s">
        <v>229</v>
      </c>
      <c r="AG67" s="22"/>
      <c r="AH67" s="22"/>
    </row>
    <row r="68" spans="1:34" s="21" customFormat="1" ht="65.25">
      <c r="A68" s="5">
        <v>16</v>
      </c>
      <c r="B68" s="5" t="s">
        <v>578</v>
      </c>
      <c r="C68" s="5" t="s">
        <v>260</v>
      </c>
      <c r="D68" s="5" t="s">
        <v>584</v>
      </c>
      <c r="E68" s="135">
        <v>9066637750</v>
      </c>
      <c r="F68" s="5" t="s">
        <v>585</v>
      </c>
      <c r="G68" s="5" t="s">
        <v>263</v>
      </c>
      <c r="H68" s="5" t="s">
        <v>264</v>
      </c>
      <c r="I68" s="5" t="s">
        <v>264</v>
      </c>
      <c r="J68" s="5" t="s">
        <v>568</v>
      </c>
      <c r="K68" s="5" t="s">
        <v>278</v>
      </c>
      <c r="L68" s="5" t="s">
        <v>258</v>
      </c>
      <c r="M68" s="5"/>
      <c r="N68" s="5"/>
      <c r="O68" s="5" t="s">
        <v>229</v>
      </c>
      <c r="P68" s="5"/>
      <c r="Q68" s="5">
        <v>2</v>
      </c>
      <c r="R68" s="54">
        <v>2</v>
      </c>
      <c r="S68" s="5">
        <v>50</v>
      </c>
      <c r="T68" s="5">
        <v>47</v>
      </c>
      <c r="U68" s="5">
        <v>3</v>
      </c>
      <c r="V68" s="5">
        <v>37</v>
      </c>
      <c r="W68" s="5">
        <v>34</v>
      </c>
      <c r="X68" s="5">
        <v>3</v>
      </c>
      <c r="Y68" s="53" t="s">
        <v>230</v>
      </c>
      <c r="Z68" s="53" t="s">
        <v>241</v>
      </c>
      <c r="AA68" s="56" t="s">
        <v>229</v>
      </c>
      <c r="AB68" s="53"/>
      <c r="AC68" s="26"/>
      <c r="AD68" s="26"/>
      <c r="AE68" s="22"/>
      <c r="AF68" s="22" t="s">
        <v>229</v>
      </c>
      <c r="AG68" s="22"/>
      <c r="AH68" s="22"/>
    </row>
    <row r="69" spans="1:34" s="21" customFormat="1" ht="78">
      <c r="A69" s="5">
        <v>31</v>
      </c>
      <c r="B69" s="5" t="s">
        <v>578</v>
      </c>
      <c r="C69" s="5" t="s">
        <v>660</v>
      </c>
      <c r="D69" s="5" t="s">
        <v>661</v>
      </c>
      <c r="E69" s="135" t="s">
        <v>662</v>
      </c>
      <c r="F69" s="5" t="s">
        <v>663</v>
      </c>
      <c r="G69" s="5" t="s">
        <v>664</v>
      </c>
      <c r="H69" s="5" t="s">
        <v>665</v>
      </c>
      <c r="I69" s="5" t="s">
        <v>666</v>
      </c>
      <c r="J69" s="5" t="s">
        <v>667</v>
      </c>
      <c r="K69" s="5"/>
      <c r="L69" s="5" t="s">
        <v>668</v>
      </c>
      <c r="M69" s="5"/>
      <c r="N69" s="5"/>
      <c r="O69" s="5" t="s">
        <v>229</v>
      </c>
      <c r="P69" s="5"/>
      <c r="Q69" s="5">
        <v>2</v>
      </c>
      <c r="R69" s="54">
        <v>2</v>
      </c>
      <c r="S69" s="5">
        <v>29.3</v>
      </c>
      <c r="T69" s="5">
        <v>25</v>
      </c>
      <c r="U69" s="5">
        <v>4.3</v>
      </c>
      <c r="V69" s="5">
        <v>16.3</v>
      </c>
      <c r="W69" s="5">
        <v>12</v>
      </c>
      <c r="X69" s="5">
        <v>4.3</v>
      </c>
      <c r="Y69" s="53" t="s">
        <v>230</v>
      </c>
      <c r="Z69" s="53" t="s">
        <v>231</v>
      </c>
      <c r="AA69" s="56"/>
      <c r="AB69" s="53"/>
      <c r="AC69" s="26"/>
      <c r="AD69" s="26"/>
      <c r="AE69" s="22"/>
      <c r="AF69" s="22" t="s">
        <v>229</v>
      </c>
      <c r="AG69" s="22"/>
      <c r="AH69" s="22"/>
    </row>
    <row r="70" spans="1:34" s="21" customFormat="1" ht="90.75">
      <c r="A70" s="5">
        <v>39</v>
      </c>
      <c r="B70" s="5" t="s">
        <v>578</v>
      </c>
      <c r="C70" s="5" t="s">
        <v>691</v>
      </c>
      <c r="D70" s="5" t="s">
        <v>692</v>
      </c>
      <c r="E70" s="135" t="s">
        <v>221</v>
      </c>
      <c r="F70" s="5" t="s">
        <v>222</v>
      </c>
      <c r="G70" s="5" t="s">
        <v>223</v>
      </c>
      <c r="H70" s="5" t="s">
        <v>224</v>
      </c>
      <c r="I70" s="5" t="s">
        <v>693</v>
      </c>
      <c r="J70" s="5" t="s">
        <v>614</v>
      </c>
      <c r="K70" s="5" t="s">
        <v>227</v>
      </c>
      <c r="L70" s="5" t="s">
        <v>694</v>
      </c>
      <c r="M70" s="5"/>
      <c r="N70" s="5"/>
      <c r="O70" s="5" t="s">
        <v>229</v>
      </c>
      <c r="P70" s="5"/>
      <c r="Q70" s="5">
        <v>1</v>
      </c>
      <c r="R70" s="54">
        <v>1</v>
      </c>
      <c r="S70" s="5">
        <v>140.7</v>
      </c>
      <c r="T70" s="5">
        <v>82</v>
      </c>
      <c r="U70" s="5">
        <v>58.7</v>
      </c>
      <c r="V70" s="5">
        <v>53</v>
      </c>
      <c r="W70" s="5">
        <v>48</v>
      </c>
      <c r="X70" s="5">
        <v>5</v>
      </c>
      <c r="Y70" s="53" t="s">
        <v>230</v>
      </c>
      <c r="Z70" s="53" t="s">
        <v>241</v>
      </c>
      <c r="AA70" s="56" t="s">
        <v>229</v>
      </c>
      <c r="AB70" s="53" t="s">
        <v>229</v>
      </c>
      <c r="AC70" s="53"/>
      <c r="AD70" s="53"/>
      <c r="AE70" s="5"/>
      <c r="AF70" s="5" t="s">
        <v>229</v>
      </c>
      <c r="AG70" s="5"/>
      <c r="AH70" s="5"/>
    </row>
    <row r="71" spans="1:34" s="21" customFormat="1" ht="65.25">
      <c r="A71" s="5">
        <v>43</v>
      </c>
      <c r="B71" s="5" t="s">
        <v>578</v>
      </c>
      <c r="C71" s="5" t="s">
        <v>260</v>
      </c>
      <c r="D71" s="5" t="s">
        <v>923</v>
      </c>
      <c r="E71" s="135">
        <v>89066637750</v>
      </c>
      <c r="F71" s="5" t="s">
        <v>580</v>
      </c>
      <c r="G71" s="5" t="s">
        <v>923</v>
      </c>
      <c r="H71" s="5" t="s">
        <v>582</v>
      </c>
      <c r="I71" s="5" t="s">
        <v>582</v>
      </c>
      <c r="J71" s="5" t="s">
        <v>697</v>
      </c>
      <c r="K71" s="5"/>
      <c r="L71" s="5" t="s">
        <v>349</v>
      </c>
      <c r="M71" s="5" t="s">
        <v>229</v>
      </c>
      <c r="N71" s="5"/>
      <c r="O71" s="5" t="s">
        <v>229</v>
      </c>
      <c r="P71" s="5"/>
      <c r="Q71" s="5">
        <v>1</v>
      </c>
      <c r="R71" s="54">
        <v>1</v>
      </c>
      <c r="S71" s="5">
        <v>20</v>
      </c>
      <c r="T71" s="5">
        <v>15</v>
      </c>
      <c r="U71" s="5">
        <v>5</v>
      </c>
      <c r="V71" s="5">
        <v>18</v>
      </c>
      <c r="W71" s="5">
        <v>14</v>
      </c>
      <c r="X71" s="5">
        <v>4</v>
      </c>
      <c r="Y71" s="53" t="s">
        <v>230</v>
      </c>
      <c r="Z71" s="53" t="s">
        <v>343</v>
      </c>
      <c r="AA71" s="56"/>
      <c r="AB71" s="53" t="s">
        <v>229</v>
      </c>
      <c r="AC71" s="53"/>
      <c r="AD71" s="53">
        <v>20</v>
      </c>
      <c r="AE71" s="5"/>
      <c r="AF71" s="5" t="s">
        <v>229</v>
      </c>
      <c r="AG71" s="5"/>
      <c r="AH71" s="5"/>
    </row>
    <row r="72" spans="1:34" s="21" customFormat="1" ht="90.75">
      <c r="A72" s="5">
        <v>8</v>
      </c>
      <c r="B72" s="5" t="s">
        <v>395</v>
      </c>
      <c r="C72" s="5" t="s">
        <v>547</v>
      </c>
      <c r="D72" s="5" t="s">
        <v>548</v>
      </c>
      <c r="E72" s="135" t="s">
        <v>523</v>
      </c>
      <c r="F72" s="5" t="s">
        <v>222</v>
      </c>
      <c r="G72" s="5" t="s">
        <v>223</v>
      </c>
      <c r="H72" s="55" t="s">
        <v>518</v>
      </c>
      <c r="I72" s="5" t="s">
        <v>549</v>
      </c>
      <c r="J72" s="5" t="s">
        <v>520</v>
      </c>
      <c r="K72" s="5" t="s">
        <v>227</v>
      </c>
      <c r="L72" s="5" t="s">
        <v>525</v>
      </c>
      <c r="M72" s="5"/>
      <c r="N72" s="5"/>
      <c r="O72" s="5"/>
      <c r="P72" s="5" t="s">
        <v>229</v>
      </c>
      <c r="Q72" s="5">
        <v>1</v>
      </c>
      <c r="R72" s="54">
        <v>1</v>
      </c>
      <c r="S72" s="5">
        <v>91.7</v>
      </c>
      <c r="T72" s="5">
        <v>83</v>
      </c>
      <c r="U72" s="5">
        <v>8.7</v>
      </c>
      <c r="V72" s="5">
        <v>49</v>
      </c>
      <c r="W72" s="5">
        <v>41</v>
      </c>
      <c r="X72" s="5">
        <v>8</v>
      </c>
      <c r="Y72" s="53" t="s">
        <v>230</v>
      </c>
      <c r="Z72" s="53" t="s">
        <v>241</v>
      </c>
      <c r="AA72" s="56" t="s">
        <v>229</v>
      </c>
      <c r="AB72" s="53"/>
      <c r="AC72" s="26"/>
      <c r="AD72" s="26"/>
      <c r="AE72" s="22"/>
      <c r="AF72" s="22" t="s">
        <v>229</v>
      </c>
      <c r="AG72" s="22"/>
      <c r="AH72" s="22"/>
    </row>
    <row r="73" spans="1:34" s="21" customFormat="1" ht="65.25">
      <c r="A73" s="5">
        <v>10</v>
      </c>
      <c r="B73" s="5" t="s">
        <v>395</v>
      </c>
      <c r="C73" s="5" t="s">
        <v>554</v>
      </c>
      <c r="D73" s="5" t="s">
        <v>404</v>
      </c>
      <c r="E73" s="135">
        <v>84864321408</v>
      </c>
      <c r="F73" s="5" t="s">
        <v>555</v>
      </c>
      <c r="G73" s="5" t="s">
        <v>556</v>
      </c>
      <c r="H73" s="5" t="s">
        <v>557</v>
      </c>
      <c r="I73" s="5" t="s">
        <v>558</v>
      </c>
      <c r="J73" s="5" t="s">
        <v>559</v>
      </c>
      <c r="K73" s="5"/>
      <c r="L73" s="5" t="s">
        <v>560</v>
      </c>
      <c r="M73" s="5"/>
      <c r="N73" s="5"/>
      <c r="O73" s="5"/>
      <c r="P73" s="5" t="s">
        <v>229</v>
      </c>
      <c r="Q73" s="5">
        <v>4</v>
      </c>
      <c r="R73" s="54">
        <v>4</v>
      </c>
      <c r="S73" s="5">
        <v>99</v>
      </c>
      <c r="T73" s="5">
        <v>52</v>
      </c>
      <c r="U73" s="5">
        <v>47</v>
      </c>
      <c r="V73" s="5">
        <v>45</v>
      </c>
      <c r="W73" s="5">
        <v>24</v>
      </c>
      <c r="X73" s="5">
        <v>21</v>
      </c>
      <c r="Y73" s="53"/>
      <c r="Z73" s="53" t="s">
        <v>241</v>
      </c>
      <c r="AA73" s="56" t="s">
        <v>229</v>
      </c>
      <c r="AB73" s="53"/>
      <c r="AC73" s="26"/>
      <c r="AD73" s="26"/>
      <c r="AE73" s="22"/>
      <c r="AF73" s="22" t="s">
        <v>229</v>
      </c>
      <c r="AG73" s="22"/>
      <c r="AH73" s="22"/>
    </row>
    <row r="74" spans="1:34" s="21" customFormat="1" ht="103.5">
      <c r="A74" s="5">
        <v>17</v>
      </c>
      <c r="B74" s="5" t="s">
        <v>395</v>
      </c>
      <c r="C74" s="5" t="s">
        <v>260</v>
      </c>
      <c r="D74" s="5" t="s">
        <v>586</v>
      </c>
      <c r="E74" s="135" t="s">
        <v>587</v>
      </c>
      <c r="F74" s="5" t="s">
        <v>588</v>
      </c>
      <c r="G74" s="5"/>
      <c r="H74" s="5" t="s">
        <v>589</v>
      </c>
      <c r="I74" s="5" t="s">
        <v>590</v>
      </c>
      <c r="J74" s="5" t="s">
        <v>591</v>
      </c>
      <c r="K74" s="5"/>
      <c r="L74" s="5" t="s">
        <v>298</v>
      </c>
      <c r="M74" s="5"/>
      <c r="N74" s="5"/>
      <c r="O74" s="5" t="s">
        <v>229</v>
      </c>
      <c r="P74" s="5"/>
      <c r="Q74" s="5">
        <v>2</v>
      </c>
      <c r="R74" s="54">
        <v>1</v>
      </c>
      <c r="S74" s="5">
        <v>58.4</v>
      </c>
      <c r="T74" s="5">
        <v>55.4</v>
      </c>
      <c r="U74" s="5">
        <v>3</v>
      </c>
      <c r="V74" s="5">
        <v>56.3</v>
      </c>
      <c r="W74" s="5">
        <v>53.3</v>
      </c>
      <c r="X74" s="5">
        <v>3</v>
      </c>
      <c r="Y74" s="53" t="s">
        <v>230</v>
      </c>
      <c r="Z74" s="53" t="s">
        <v>343</v>
      </c>
      <c r="AA74" s="56"/>
      <c r="AB74" s="53"/>
      <c r="AC74" s="26"/>
      <c r="AD74" s="26"/>
      <c r="AE74" s="22"/>
      <c r="AF74" s="22" t="s">
        <v>229</v>
      </c>
      <c r="AG74" s="22"/>
      <c r="AH74" s="22"/>
    </row>
    <row r="75" spans="1:34" s="21" customFormat="1" ht="65.25">
      <c r="A75" s="5">
        <v>18</v>
      </c>
      <c r="B75" s="5" t="s">
        <v>395</v>
      </c>
      <c r="C75" s="5" t="s">
        <v>260</v>
      </c>
      <c r="D75" s="5" t="s">
        <v>592</v>
      </c>
      <c r="E75" s="135">
        <v>9066637750</v>
      </c>
      <c r="F75" s="5" t="s">
        <v>567</v>
      </c>
      <c r="G75" s="5" t="s">
        <v>263</v>
      </c>
      <c r="H75" s="5" t="s">
        <v>264</v>
      </c>
      <c r="I75" s="5" t="s">
        <v>264</v>
      </c>
      <c r="J75" s="5" t="s">
        <v>576</v>
      </c>
      <c r="K75" s="5" t="s">
        <v>227</v>
      </c>
      <c r="L75" s="5" t="s">
        <v>593</v>
      </c>
      <c r="M75" s="5"/>
      <c r="N75" s="5"/>
      <c r="O75" s="5" t="s">
        <v>229</v>
      </c>
      <c r="P75" s="5"/>
      <c r="Q75" s="5">
        <v>2</v>
      </c>
      <c r="R75" s="54">
        <v>2</v>
      </c>
      <c r="S75" s="5">
        <v>60.2</v>
      </c>
      <c r="T75" s="5">
        <v>55.2</v>
      </c>
      <c r="U75" s="5">
        <v>5</v>
      </c>
      <c r="V75" s="5">
        <v>57.4</v>
      </c>
      <c r="W75" s="5">
        <v>52.4</v>
      </c>
      <c r="X75" s="5">
        <v>5</v>
      </c>
      <c r="Y75" s="53" t="s">
        <v>230</v>
      </c>
      <c r="Z75" s="53" t="s">
        <v>241</v>
      </c>
      <c r="AA75" s="56" t="s">
        <v>229</v>
      </c>
      <c r="AB75" s="53"/>
      <c r="AC75" s="26"/>
      <c r="AD75" s="26"/>
      <c r="AE75" s="22"/>
      <c r="AF75" s="22" t="s">
        <v>229</v>
      </c>
      <c r="AG75" s="22"/>
      <c r="AH75" s="22"/>
    </row>
    <row r="76" spans="1:34" s="21" customFormat="1" ht="52.5">
      <c r="A76" s="5">
        <v>34</v>
      </c>
      <c r="B76" s="136" t="s">
        <v>395</v>
      </c>
      <c r="C76" s="136" t="s">
        <v>260</v>
      </c>
      <c r="D76" s="136" t="s">
        <v>677</v>
      </c>
      <c r="E76" s="137" t="s">
        <v>678</v>
      </c>
      <c r="F76" s="136" t="s">
        <v>679</v>
      </c>
      <c r="G76" s="136" t="s">
        <v>677</v>
      </c>
      <c r="H76" s="136" t="s">
        <v>680</v>
      </c>
      <c r="I76" s="136" t="s">
        <v>680</v>
      </c>
      <c r="J76" s="136" t="s">
        <v>576</v>
      </c>
      <c r="K76" s="136" t="s">
        <v>227</v>
      </c>
      <c r="L76" s="136" t="s">
        <v>318</v>
      </c>
      <c r="M76" s="136"/>
      <c r="N76" s="136"/>
      <c r="O76" s="136" t="s">
        <v>229</v>
      </c>
      <c r="P76" s="136"/>
      <c r="Q76" s="136">
        <v>3</v>
      </c>
      <c r="R76" s="138">
        <v>3</v>
      </c>
      <c r="S76" s="136">
        <v>108</v>
      </c>
      <c r="T76" s="136">
        <v>98</v>
      </c>
      <c r="U76" s="136">
        <v>10</v>
      </c>
      <c r="V76" s="136">
        <v>58</v>
      </c>
      <c r="W76" s="136">
        <v>53</v>
      </c>
      <c r="X76" s="136">
        <v>5</v>
      </c>
      <c r="Y76" s="139" t="s">
        <v>230</v>
      </c>
      <c r="Z76" s="139" t="s">
        <v>241</v>
      </c>
      <c r="AA76" s="140"/>
      <c r="AB76" s="139"/>
      <c r="AC76" s="26"/>
      <c r="AD76" s="26"/>
      <c r="AE76" s="22" t="s">
        <v>229</v>
      </c>
      <c r="AF76" s="22" t="s">
        <v>229</v>
      </c>
      <c r="AG76" s="22"/>
      <c r="AH76" s="22"/>
    </row>
    <row r="77" spans="1:34" s="21" customFormat="1" ht="52.5">
      <c r="A77" s="5">
        <v>45</v>
      </c>
      <c r="B77" s="4" t="s">
        <v>703</v>
      </c>
      <c r="C77" s="5" t="s">
        <v>260</v>
      </c>
      <c r="D77" s="5" t="s">
        <v>704</v>
      </c>
      <c r="E77" s="135">
        <v>9102082791</v>
      </c>
      <c r="F77" s="5" t="s">
        <v>705</v>
      </c>
      <c r="G77" s="5" t="s">
        <v>706</v>
      </c>
      <c r="H77" s="5" t="s">
        <v>707</v>
      </c>
      <c r="I77" s="5" t="s">
        <v>708</v>
      </c>
      <c r="J77" s="5" t="s">
        <v>277</v>
      </c>
      <c r="K77" s="5" t="s">
        <v>278</v>
      </c>
      <c r="L77" s="5" t="s">
        <v>709</v>
      </c>
      <c r="M77" s="5"/>
      <c r="N77" s="5"/>
      <c r="O77" s="5" t="s">
        <v>229</v>
      </c>
      <c r="P77" s="5"/>
      <c r="Q77" s="5">
        <v>2</v>
      </c>
      <c r="R77" s="54">
        <v>1</v>
      </c>
      <c r="S77" s="5">
        <v>34</v>
      </c>
      <c r="T77" s="5">
        <v>25</v>
      </c>
      <c r="U77" s="5">
        <v>9</v>
      </c>
      <c r="V77" s="5">
        <v>24</v>
      </c>
      <c r="W77" s="5">
        <v>20</v>
      </c>
      <c r="X77" s="5">
        <v>4</v>
      </c>
      <c r="Y77" s="53" t="s">
        <v>230</v>
      </c>
      <c r="Z77" s="53" t="s">
        <v>241</v>
      </c>
      <c r="AA77" s="56"/>
      <c r="AB77" s="53"/>
      <c r="AC77" s="53"/>
      <c r="AD77" s="53"/>
      <c r="AE77" s="5"/>
      <c r="AF77" s="5" t="s">
        <v>229</v>
      </c>
      <c r="AG77" s="5"/>
      <c r="AH77" s="5"/>
    </row>
    <row r="78" spans="1:34" s="21" customFormat="1" ht="90.75">
      <c r="A78" s="5">
        <v>3</v>
      </c>
      <c r="B78" s="5" t="s">
        <v>526</v>
      </c>
      <c r="C78" s="5" t="s">
        <v>527</v>
      </c>
      <c r="D78" s="5" t="s">
        <v>528</v>
      </c>
      <c r="E78" s="135" t="s">
        <v>523</v>
      </c>
      <c r="F78" s="5" t="s">
        <v>222</v>
      </c>
      <c r="G78" s="5" t="s">
        <v>223</v>
      </c>
      <c r="H78" s="55" t="s">
        <v>518</v>
      </c>
      <c r="I78" s="5" t="s">
        <v>529</v>
      </c>
      <c r="J78" s="5" t="s">
        <v>520</v>
      </c>
      <c r="K78" s="5" t="s">
        <v>227</v>
      </c>
      <c r="L78" s="5" t="s">
        <v>525</v>
      </c>
      <c r="M78" s="5"/>
      <c r="N78" s="5"/>
      <c r="O78" s="5" t="s">
        <v>229</v>
      </c>
      <c r="P78" s="5"/>
      <c r="Q78" s="5">
        <v>1</v>
      </c>
      <c r="R78" s="54">
        <v>1</v>
      </c>
      <c r="S78" s="5">
        <v>77</v>
      </c>
      <c r="T78" s="5">
        <v>70</v>
      </c>
      <c r="U78" s="5">
        <v>7</v>
      </c>
      <c r="V78" s="5">
        <v>61.5</v>
      </c>
      <c r="W78" s="5">
        <v>54.5</v>
      </c>
      <c r="X78" s="5">
        <v>7</v>
      </c>
      <c r="Y78" s="53" t="s">
        <v>230</v>
      </c>
      <c r="Z78" s="53" t="s">
        <v>241</v>
      </c>
      <c r="AA78" s="56" t="s">
        <v>229</v>
      </c>
      <c r="AB78" s="53"/>
      <c r="AC78" s="26"/>
      <c r="AD78" s="26"/>
      <c r="AE78" s="22"/>
      <c r="AF78" s="22" t="s">
        <v>229</v>
      </c>
      <c r="AG78" s="22"/>
      <c r="AH78" s="22"/>
    </row>
    <row r="79" spans="1:34" s="21" customFormat="1" ht="90.75">
      <c r="A79" s="5">
        <v>4</v>
      </c>
      <c r="B79" s="5" t="s">
        <v>526</v>
      </c>
      <c r="C79" s="5" t="s">
        <v>530</v>
      </c>
      <c r="D79" s="5" t="s">
        <v>531</v>
      </c>
      <c r="E79" s="135" t="s">
        <v>532</v>
      </c>
      <c r="F79" s="5" t="s">
        <v>222</v>
      </c>
      <c r="G79" s="5" t="s">
        <v>223</v>
      </c>
      <c r="H79" s="55" t="s">
        <v>518</v>
      </c>
      <c r="I79" s="5" t="s">
        <v>533</v>
      </c>
      <c r="J79" s="5" t="s">
        <v>520</v>
      </c>
      <c r="K79" s="5" t="s">
        <v>227</v>
      </c>
      <c r="L79" s="5" t="s">
        <v>525</v>
      </c>
      <c r="M79" s="5"/>
      <c r="N79" s="5"/>
      <c r="O79" s="5"/>
      <c r="P79" s="5" t="s">
        <v>229</v>
      </c>
      <c r="Q79" s="5">
        <v>1</v>
      </c>
      <c r="R79" s="54">
        <v>1</v>
      </c>
      <c r="S79" s="5">
        <v>90.4</v>
      </c>
      <c r="T79" s="5">
        <v>70</v>
      </c>
      <c r="U79" s="5">
        <v>20.4</v>
      </c>
      <c r="V79" s="5">
        <v>52</v>
      </c>
      <c r="W79" s="5">
        <v>40</v>
      </c>
      <c r="X79" s="5">
        <v>12</v>
      </c>
      <c r="Y79" s="53" t="s">
        <v>230</v>
      </c>
      <c r="Z79" s="53" t="s">
        <v>241</v>
      </c>
      <c r="AA79" s="56" t="s">
        <v>229</v>
      </c>
      <c r="AB79" s="53" t="s">
        <v>229</v>
      </c>
      <c r="AC79" s="26">
        <v>57</v>
      </c>
      <c r="AD79" s="26"/>
      <c r="AE79" s="22"/>
      <c r="AF79" s="22" t="s">
        <v>229</v>
      </c>
      <c r="AG79" s="22"/>
      <c r="AH79" s="22"/>
    </row>
    <row r="80" spans="1:34" s="21" customFormat="1" ht="65.25">
      <c r="A80" s="5">
        <v>19</v>
      </c>
      <c r="B80" s="5" t="s">
        <v>526</v>
      </c>
      <c r="C80" s="5" t="s">
        <v>260</v>
      </c>
      <c r="D80" s="5" t="s">
        <v>594</v>
      </c>
      <c r="E80" s="135">
        <v>89208002196</v>
      </c>
      <c r="F80" s="5" t="s">
        <v>595</v>
      </c>
      <c r="G80" s="5" t="s">
        <v>596</v>
      </c>
      <c r="H80" s="5" t="s">
        <v>597</v>
      </c>
      <c r="I80" s="5" t="s">
        <v>598</v>
      </c>
      <c r="J80" s="5" t="s">
        <v>599</v>
      </c>
      <c r="K80" s="5" t="s">
        <v>278</v>
      </c>
      <c r="L80" s="5" t="s">
        <v>600</v>
      </c>
      <c r="M80" s="5" t="s">
        <v>229</v>
      </c>
      <c r="N80" s="5"/>
      <c r="O80" s="5" t="s">
        <v>229</v>
      </c>
      <c r="P80" s="5"/>
      <c r="Q80" s="5">
        <v>1</v>
      </c>
      <c r="R80" s="54">
        <v>1</v>
      </c>
      <c r="S80" s="5">
        <v>56</v>
      </c>
      <c r="T80" s="5">
        <v>46</v>
      </c>
      <c r="U80" s="5">
        <v>10</v>
      </c>
      <c r="V80" s="5">
        <v>35</v>
      </c>
      <c r="W80" s="5">
        <v>30</v>
      </c>
      <c r="X80" s="5">
        <v>5</v>
      </c>
      <c r="Y80" s="53" t="s">
        <v>230</v>
      </c>
      <c r="Z80" s="53" t="s">
        <v>241</v>
      </c>
      <c r="AA80" s="56" t="s">
        <v>229</v>
      </c>
      <c r="AB80" s="53"/>
      <c r="AC80" s="26"/>
      <c r="AD80" s="26">
        <v>56</v>
      </c>
      <c r="AE80" s="22"/>
      <c r="AF80" s="22" t="s">
        <v>229</v>
      </c>
      <c r="AG80" s="22"/>
      <c r="AH80" s="22"/>
    </row>
    <row r="81" spans="1:34" s="21" customFormat="1" ht="90.75">
      <c r="A81" s="5">
        <v>6</v>
      </c>
      <c r="B81" s="5" t="s">
        <v>539</v>
      </c>
      <c r="C81" s="5" t="s">
        <v>540</v>
      </c>
      <c r="D81" s="5" t="s">
        <v>541</v>
      </c>
      <c r="E81" s="135" t="s">
        <v>523</v>
      </c>
      <c r="F81" s="5" t="s">
        <v>222</v>
      </c>
      <c r="G81" s="5" t="s">
        <v>223</v>
      </c>
      <c r="H81" s="55" t="s">
        <v>518</v>
      </c>
      <c r="I81" s="5" t="s">
        <v>542</v>
      </c>
      <c r="J81" s="5" t="s">
        <v>520</v>
      </c>
      <c r="K81" s="5" t="s">
        <v>227</v>
      </c>
      <c r="L81" s="5" t="s">
        <v>525</v>
      </c>
      <c r="M81" s="5"/>
      <c r="N81" s="5"/>
      <c r="O81" s="5" t="s">
        <v>229</v>
      </c>
      <c r="P81" s="5"/>
      <c r="Q81" s="5">
        <v>1</v>
      </c>
      <c r="R81" s="54">
        <v>1</v>
      </c>
      <c r="S81" s="5">
        <v>116.5</v>
      </c>
      <c r="T81" s="5">
        <v>40</v>
      </c>
      <c r="U81" s="5">
        <v>8</v>
      </c>
      <c r="V81" s="5">
        <v>38.6</v>
      </c>
      <c r="W81" s="5">
        <v>33.6</v>
      </c>
      <c r="X81" s="5">
        <v>5</v>
      </c>
      <c r="Y81" s="53" t="s">
        <v>230</v>
      </c>
      <c r="Z81" s="53" t="s">
        <v>241</v>
      </c>
      <c r="AA81" s="56" t="s">
        <v>229</v>
      </c>
      <c r="AB81" s="53"/>
      <c r="AC81" s="26"/>
      <c r="AD81" s="26"/>
      <c r="AE81" s="22"/>
      <c r="AF81" s="22" t="s">
        <v>229</v>
      </c>
      <c r="AG81" s="22"/>
      <c r="AH81" s="22"/>
    </row>
    <row r="82" spans="1:34" s="21" customFormat="1" ht="52.5">
      <c r="A82" s="5">
        <v>15</v>
      </c>
      <c r="B82" s="5" t="s">
        <v>539</v>
      </c>
      <c r="C82" s="5" t="s">
        <v>260</v>
      </c>
      <c r="D82" s="5" t="s">
        <v>583</v>
      </c>
      <c r="E82" s="135">
        <v>9066637750</v>
      </c>
      <c r="F82" s="5" t="s">
        <v>567</v>
      </c>
      <c r="G82" s="5" t="s">
        <v>263</v>
      </c>
      <c r="H82" s="5" t="s">
        <v>264</v>
      </c>
      <c r="I82" s="5" t="s">
        <v>264</v>
      </c>
      <c r="J82" s="5" t="s">
        <v>576</v>
      </c>
      <c r="K82" s="5" t="s">
        <v>227</v>
      </c>
      <c r="L82" s="5" t="s">
        <v>258</v>
      </c>
      <c r="M82" s="5"/>
      <c r="N82" s="5"/>
      <c r="O82" s="5" t="s">
        <v>229</v>
      </c>
      <c r="P82" s="5"/>
      <c r="Q82" s="5">
        <v>2</v>
      </c>
      <c r="R82" s="54">
        <v>2</v>
      </c>
      <c r="S82" s="5">
        <v>82</v>
      </c>
      <c r="T82" s="5">
        <v>79</v>
      </c>
      <c r="U82" s="5">
        <v>3</v>
      </c>
      <c r="V82" s="5">
        <v>37</v>
      </c>
      <c r="W82" s="5">
        <v>34</v>
      </c>
      <c r="X82" s="5">
        <v>3</v>
      </c>
      <c r="Y82" s="53" t="s">
        <v>230</v>
      </c>
      <c r="Z82" s="53" t="s">
        <v>241</v>
      </c>
      <c r="AA82" s="56" t="s">
        <v>229</v>
      </c>
      <c r="AB82" s="53"/>
      <c r="AC82" s="26"/>
      <c r="AD82" s="26"/>
      <c r="AE82" s="22"/>
      <c r="AF82" s="22" t="s">
        <v>229</v>
      </c>
      <c r="AG82" s="22"/>
      <c r="AH82" s="22"/>
    </row>
    <row r="83" spans="1:34" s="21" customFormat="1" ht="90.75">
      <c r="A83" s="5">
        <v>9</v>
      </c>
      <c r="B83" s="5" t="s">
        <v>550</v>
      </c>
      <c r="C83" s="5" t="s">
        <v>551</v>
      </c>
      <c r="D83" s="5" t="s">
        <v>552</v>
      </c>
      <c r="E83" s="135" t="s">
        <v>523</v>
      </c>
      <c r="F83" s="5" t="s">
        <v>222</v>
      </c>
      <c r="G83" s="5" t="s">
        <v>223</v>
      </c>
      <c r="H83" s="55" t="s">
        <v>518</v>
      </c>
      <c r="I83" s="5" t="s">
        <v>553</v>
      </c>
      <c r="J83" s="5" t="s">
        <v>520</v>
      </c>
      <c r="K83" s="5" t="s">
        <v>227</v>
      </c>
      <c r="L83" s="5" t="s">
        <v>525</v>
      </c>
      <c r="M83" s="5"/>
      <c r="N83" s="5"/>
      <c r="O83" s="5" t="s">
        <v>229</v>
      </c>
      <c r="P83" s="5"/>
      <c r="Q83" s="5">
        <v>1</v>
      </c>
      <c r="R83" s="54">
        <v>1</v>
      </c>
      <c r="S83" s="5">
        <v>88.3</v>
      </c>
      <c r="T83" s="5">
        <v>75</v>
      </c>
      <c r="U83" s="5">
        <v>13.3</v>
      </c>
      <c r="V83" s="5">
        <v>31.1</v>
      </c>
      <c r="W83" s="5">
        <v>23.1</v>
      </c>
      <c r="X83" s="5">
        <v>8</v>
      </c>
      <c r="Y83" s="53" t="s">
        <v>230</v>
      </c>
      <c r="Z83" s="53" t="s">
        <v>241</v>
      </c>
      <c r="AA83" s="56" t="s">
        <v>229</v>
      </c>
      <c r="AB83" s="53" t="s">
        <v>229</v>
      </c>
      <c r="AC83" s="26">
        <v>50</v>
      </c>
      <c r="AD83" s="26"/>
      <c r="AE83" s="22"/>
      <c r="AF83" s="22" t="s">
        <v>229</v>
      </c>
      <c r="AG83" s="22"/>
      <c r="AH83" s="22"/>
    </row>
    <row r="84" spans="1:34" s="21" customFormat="1" ht="65.25">
      <c r="A84" s="5">
        <v>32</v>
      </c>
      <c r="B84" s="5" t="s">
        <v>669</v>
      </c>
      <c r="C84" s="5" t="s">
        <v>670</v>
      </c>
      <c r="D84" s="5" t="s">
        <v>671</v>
      </c>
      <c r="E84" s="135" t="s">
        <v>672</v>
      </c>
      <c r="F84" s="147" t="s">
        <v>673</v>
      </c>
      <c r="G84" s="5" t="s">
        <v>674</v>
      </c>
      <c r="H84" s="5" t="s">
        <v>675</v>
      </c>
      <c r="I84" s="5" t="s">
        <v>675</v>
      </c>
      <c r="J84" s="5" t="s">
        <v>649</v>
      </c>
      <c r="K84" s="5"/>
      <c r="L84" s="5" t="s">
        <v>318</v>
      </c>
      <c r="M84" s="5"/>
      <c r="N84" s="5"/>
      <c r="O84" s="5" t="s">
        <v>229</v>
      </c>
      <c r="P84" s="5"/>
      <c r="Q84" s="5">
        <v>1</v>
      </c>
      <c r="R84" s="54">
        <v>1</v>
      </c>
      <c r="S84" s="5">
        <v>20</v>
      </c>
      <c r="T84" s="5">
        <v>16</v>
      </c>
      <c r="U84" s="5">
        <v>4</v>
      </c>
      <c r="V84" s="5">
        <v>16</v>
      </c>
      <c r="W84" s="5">
        <v>13</v>
      </c>
      <c r="X84" s="5">
        <v>3</v>
      </c>
      <c r="Y84" s="53" t="s">
        <v>230</v>
      </c>
      <c r="Z84" s="53" t="s">
        <v>241</v>
      </c>
      <c r="AA84" s="56"/>
      <c r="AB84" s="53"/>
      <c r="AC84" s="26"/>
      <c r="AD84" s="26"/>
      <c r="AE84" s="22"/>
      <c r="AF84" s="22" t="s">
        <v>229</v>
      </c>
      <c r="AG84" s="22"/>
      <c r="AH84" s="22"/>
    </row>
    <row r="85" spans="1:34" s="21" customFormat="1" ht="65.25">
      <c r="A85" s="5">
        <v>42</v>
      </c>
      <c r="B85" s="5" t="s">
        <v>669</v>
      </c>
      <c r="C85" s="5" t="s">
        <v>700</v>
      </c>
      <c r="D85" s="5" t="s">
        <v>701</v>
      </c>
      <c r="E85" s="135">
        <v>89051687772</v>
      </c>
      <c r="F85" s="5" t="s">
        <v>222</v>
      </c>
      <c r="G85" s="5" t="s">
        <v>223</v>
      </c>
      <c r="H85" s="5" t="s">
        <v>224</v>
      </c>
      <c r="I85" s="5" t="s">
        <v>702</v>
      </c>
      <c r="J85" s="5" t="s">
        <v>697</v>
      </c>
      <c r="K85" s="5" t="s">
        <v>227</v>
      </c>
      <c r="L85" s="5" t="s">
        <v>653</v>
      </c>
      <c r="M85" s="5" t="s">
        <v>229</v>
      </c>
      <c r="N85" s="5"/>
      <c r="O85" s="5"/>
      <c r="P85" s="5" t="s">
        <v>229</v>
      </c>
      <c r="Q85" s="5">
        <v>1</v>
      </c>
      <c r="R85" s="54">
        <v>1</v>
      </c>
      <c r="S85" s="5">
        <v>100.6</v>
      </c>
      <c r="T85" s="5">
        <v>78.6</v>
      </c>
      <c r="U85" s="5">
        <v>22</v>
      </c>
      <c r="V85" s="5">
        <v>57.3</v>
      </c>
      <c r="W85" s="5">
        <v>50.3</v>
      </c>
      <c r="X85" s="5">
        <v>7</v>
      </c>
      <c r="Y85" s="53" t="s">
        <v>230</v>
      </c>
      <c r="Z85" s="53" t="s">
        <v>241</v>
      </c>
      <c r="AA85" s="56" t="s">
        <v>232</v>
      </c>
      <c r="AB85" s="53" t="s">
        <v>229</v>
      </c>
      <c r="AC85" s="53"/>
      <c r="AD85" s="53">
        <v>123</v>
      </c>
      <c r="AE85" s="5"/>
      <c r="AF85" s="5" t="s">
        <v>229</v>
      </c>
      <c r="AG85" s="5"/>
      <c r="AH85" s="5"/>
    </row>
    <row r="86" spans="1:34" s="21" customFormat="1" ht="90.75">
      <c r="A86" s="5">
        <v>2</v>
      </c>
      <c r="B86" s="5" t="s">
        <v>259</v>
      </c>
      <c r="C86" s="5" t="s">
        <v>521</v>
      </c>
      <c r="D86" s="5" t="s">
        <v>522</v>
      </c>
      <c r="E86" s="135" t="s">
        <v>523</v>
      </c>
      <c r="F86" s="5" t="s">
        <v>222</v>
      </c>
      <c r="G86" s="5" t="s">
        <v>223</v>
      </c>
      <c r="H86" s="55" t="s">
        <v>518</v>
      </c>
      <c r="I86" s="5" t="s">
        <v>524</v>
      </c>
      <c r="J86" s="5" t="s">
        <v>520</v>
      </c>
      <c r="K86" s="5" t="s">
        <v>227</v>
      </c>
      <c r="L86" s="5" t="s">
        <v>525</v>
      </c>
      <c r="M86" s="5"/>
      <c r="N86" s="5"/>
      <c r="O86" s="5"/>
      <c r="P86" s="5" t="s">
        <v>229</v>
      </c>
      <c r="Q86" s="5">
        <v>1</v>
      </c>
      <c r="R86" s="54">
        <v>1</v>
      </c>
      <c r="S86" s="5">
        <v>86.6</v>
      </c>
      <c r="T86" s="5">
        <v>35</v>
      </c>
      <c r="U86" s="5">
        <v>10</v>
      </c>
      <c r="V86" s="5">
        <v>37.2</v>
      </c>
      <c r="W86" s="5">
        <v>28.2</v>
      </c>
      <c r="X86" s="5">
        <v>9</v>
      </c>
      <c r="Y86" s="53" t="s">
        <v>230</v>
      </c>
      <c r="Z86" s="53" t="s">
        <v>241</v>
      </c>
      <c r="AA86" s="56" t="s">
        <v>229</v>
      </c>
      <c r="AB86" s="53" t="s">
        <v>229</v>
      </c>
      <c r="AC86" s="26">
        <v>10</v>
      </c>
      <c r="AD86" s="26"/>
      <c r="AE86" s="22"/>
      <c r="AF86" s="22" t="s">
        <v>229</v>
      </c>
      <c r="AG86" s="22"/>
      <c r="AH86" s="22"/>
    </row>
    <row r="87" spans="1:34" s="21" customFormat="1" ht="65.25">
      <c r="A87" s="5">
        <v>24</v>
      </c>
      <c r="B87" s="5" t="s">
        <v>259</v>
      </c>
      <c r="C87" s="5" t="s">
        <v>628</v>
      </c>
      <c r="D87" s="5" t="s">
        <v>629</v>
      </c>
      <c r="E87" s="135">
        <v>9202817416</v>
      </c>
      <c r="F87" s="5" t="s">
        <v>630</v>
      </c>
      <c r="G87" s="5" t="s">
        <v>631</v>
      </c>
      <c r="H87" s="5" t="s">
        <v>632</v>
      </c>
      <c r="I87" s="5" t="s">
        <v>632</v>
      </c>
      <c r="J87" s="5" t="s">
        <v>297</v>
      </c>
      <c r="K87" s="5" t="s">
        <v>278</v>
      </c>
      <c r="L87" s="5" t="s">
        <v>633</v>
      </c>
      <c r="M87" s="5"/>
      <c r="N87" s="5"/>
      <c r="O87" s="5" t="s">
        <v>229</v>
      </c>
      <c r="P87" s="5"/>
      <c r="Q87" s="5">
        <v>1</v>
      </c>
      <c r="R87" s="54">
        <v>1</v>
      </c>
      <c r="S87" s="5">
        <v>68.8</v>
      </c>
      <c r="T87" s="5">
        <v>60.8</v>
      </c>
      <c r="U87" s="5">
        <v>8</v>
      </c>
      <c r="V87" s="5">
        <v>36</v>
      </c>
      <c r="W87" s="5">
        <v>34</v>
      </c>
      <c r="X87" s="5">
        <v>2</v>
      </c>
      <c r="Y87" s="53" t="s">
        <v>230</v>
      </c>
      <c r="Z87" s="53" t="s">
        <v>343</v>
      </c>
      <c r="AA87" s="56" t="s">
        <v>229</v>
      </c>
      <c r="AB87" s="53"/>
      <c r="AC87" s="26"/>
      <c r="AD87" s="26"/>
      <c r="AE87" s="22"/>
      <c r="AF87" s="22" t="s">
        <v>229</v>
      </c>
      <c r="AG87" s="22"/>
      <c r="AH87" s="22"/>
    </row>
    <row r="88" spans="1:34" s="21" customFormat="1" ht="65.25">
      <c r="A88" s="5">
        <v>27</v>
      </c>
      <c r="B88" s="5" t="s">
        <v>259</v>
      </c>
      <c r="C88" s="5" t="s">
        <v>260</v>
      </c>
      <c r="D88" s="5" t="s">
        <v>645</v>
      </c>
      <c r="E88" s="135" t="s">
        <v>646</v>
      </c>
      <c r="F88" s="5" t="s">
        <v>647</v>
      </c>
      <c r="G88" s="5"/>
      <c r="H88" s="5" t="s">
        <v>648</v>
      </c>
      <c r="I88" s="5" t="s">
        <v>648</v>
      </c>
      <c r="J88" s="5" t="s">
        <v>649</v>
      </c>
      <c r="K88" s="5"/>
      <c r="L88" s="5" t="s">
        <v>650</v>
      </c>
      <c r="M88" s="5"/>
      <c r="N88" s="5"/>
      <c r="O88" s="5" t="s">
        <v>229</v>
      </c>
      <c r="P88" s="5"/>
      <c r="Q88" s="5">
        <v>1</v>
      </c>
      <c r="R88" s="54">
        <v>1</v>
      </c>
      <c r="S88" s="5">
        <v>25</v>
      </c>
      <c r="T88" s="5">
        <v>23</v>
      </c>
      <c r="U88" s="5">
        <v>2</v>
      </c>
      <c r="V88" s="5">
        <v>10</v>
      </c>
      <c r="W88" s="5">
        <v>8</v>
      </c>
      <c r="X88" s="5">
        <v>2</v>
      </c>
      <c r="Y88" s="53" t="s">
        <v>230</v>
      </c>
      <c r="Z88" s="53" t="s">
        <v>343</v>
      </c>
      <c r="AA88" s="56"/>
      <c r="AB88" s="53"/>
      <c r="AC88" s="26"/>
      <c r="AD88" s="26"/>
      <c r="AE88" s="22"/>
      <c r="AF88" s="22" t="s">
        <v>229</v>
      </c>
      <c r="AG88" s="22"/>
      <c r="AH88" s="22"/>
    </row>
    <row r="89" spans="1:34" s="263" customFormat="1" ht="90.75">
      <c r="A89" s="255">
        <v>1</v>
      </c>
      <c r="B89" s="256" t="s">
        <v>218</v>
      </c>
      <c r="C89" s="257" t="s">
        <v>515</v>
      </c>
      <c r="D89" s="257" t="s">
        <v>516</v>
      </c>
      <c r="E89" s="255" t="s">
        <v>517</v>
      </c>
      <c r="F89" s="257" t="s">
        <v>222</v>
      </c>
      <c r="G89" s="257" t="s">
        <v>223</v>
      </c>
      <c r="H89" s="257" t="s">
        <v>518</v>
      </c>
      <c r="I89" s="257" t="s">
        <v>519</v>
      </c>
      <c r="J89" s="257" t="s">
        <v>520</v>
      </c>
      <c r="K89" s="257" t="s">
        <v>227</v>
      </c>
      <c r="L89" s="257" t="s">
        <v>228</v>
      </c>
      <c r="M89" s="257"/>
      <c r="N89" s="257"/>
      <c r="O89" s="257"/>
      <c r="P89" s="257" t="s">
        <v>229</v>
      </c>
      <c r="Q89" s="257">
        <v>4</v>
      </c>
      <c r="R89" s="258">
        <v>4</v>
      </c>
      <c r="S89" s="255">
        <v>274.4</v>
      </c>
      <c r="T89" s="257">
        <v>75</v>
      </c>
      <c r="U89" s="257">
        <v>13</v>
      </c>
      <c r="V89" s="257">
        <v>70</v>
      </c>
      <c r="W89" s="257">
        <v>62</v>
      </c>
      <c r="X89" s="257">
        <v>8</v>
      </c>
      <c r="Y89" s="259" t="s">
        <v>230</v>
      </c>
      <c r="Z89" s="259" t="s">
        <v>241</v>
      </c>
      <c r="AA89" s="260" t="s">
        <v>229</v>
      </c>
      <c r="AB89" s="259" t="s">
        <v>229</v>
      </c>
      <c r="AC89" s="261">
        <v>212</v>
      </c>
      <c r="AD89" s="261"/>
      <c r="AE89" s="262"/>
      <c r="AF89" s="262" t="s">
        <v>229</v>
      </c>
      <c r="AG89" s="262"/>
      <c r="AH89" s="262"/>
    </row>
    <row r="90" spans="1:34" s="263" customFormat="1" ht="65.25">
      <c r="A90" s="264">
        <v>13</v>
      </c>
      <c r="B90" s="264" t="s">
        <v>218</v>
      </c>
      <c r="C90" s="264" t="s">
        <v>569</v>
      </c>
      <c r="D90" s="264" t="s">
        <v>570</v>
      </c>
      <c r="E90" s="265" t="s">
        <v>571</v>
      </c>
      <c r="F90" s="264" t="s">
        <v>572</v>
      </c>
      <c r="G90" s="264" t="s">
        <v>573</v>
      </c>
      <c r="H90" s="264" t="s">
        <v>574</v>
      </c>
      <c r="I90" s="264" t="s">
        <v>575</v>
      </c>
      <c r="J90" s="264" t="s">
        <v>576</v>
      </c>
      <c r="K90" s="264" t="s">
        <v>227</v>
      </c>
      <c r="L90" s="264" t="s">
        <v>577</v>
      </c>
      <c r="M90" s="264"/>
      <c r="N90" s="264"/>
      <c r="O90" s="264"/>
      <c r="P90" s="264" t="s">
        <v>229</v>
      </c>
      <c r="Q90" s="264">
        <v>12</v>
      </c>
      <c r="R90" s="266">
        <v>10</v>
      </c>
      <c r="S90" s="264">
        <v>281.9</v>
      </c>
      <c r="T90" s="264">
        <v>266.8</v>
      </c>
      <c r="U90" s="264">
        <v>15.1</v>
      </c>
      <c r="V90" s="264">
        <v>161.1</v>
      </c>
      <c r="W90" s="264">
        <v>146</v>
      </c>
      <c r="X90" s="264">
        <v>15.1</v>
      </c>
      <c r="Y90" s="249" t="s">
        <v>230</v>
      </c>
      <c r="Z90" s="249" t="s">
        <v>241</v>
      </c>
      <c r="AA90" s="250" t="s">
        <v>229</v>
      </c>
      <c r="AB90" s="249"/>
      <c r="AC90" s="261"/>
      <c r="AD90" s="261"/>
      <c r="AE90" s="262"/>
      <c r="AF90" s="262" t="s">
        <v>229</v>
      </c>
      <c r="AG90" s="262"/>
      <c r="AH90" s="262"/>
    </row>
    <row r="91" spans="1:34" s="21" customFormat="1" ht="65.25">
      <c r="A91" s="136">
        <v>20</v>
      </c>
      <c r="B91" s="136" t="s">
        <v>218</v>
      </c>
      <c r="C91" s="136" t="s">
        <v>601</v>
      </c>
      <c r="D91" s="136" t="s">
        <v>602</v>
      </c>
      <c r="E91" s="137">
        <v>89208096088</v>
      </c>
      <c r="F91" s="136" t="s">
        <v>603</v>
      </c>
      <c r="G91" s="136" t="s">
        <v>604</v>
      </c>
      <c r="H91" s="136" t="s">
        <v>605</v>
      </c>
      <c r="I91" s="136" t="s">
        <v>606</v>
      </c>
      <c r="J91" s="136" t="s">
        <v>568</v>
      </c>
      <c r="K91" s="136" t="s">
        <v>227</v>
      </c>
      <c r="L91" s="136" t="s">
        <v>607</v>
      </c>
      <c r="M91" s="136"/>
      <c r="N91" s="136"/>
      <c r="O91" s="136"/>
      <c r="P91" s="136" t="s">
        <v>229</v>
      </c>
      <c r="Q91" s="136">
        <v>5</v>
      </c>
      <c r="R91" s="138">
        <v>4</v>
      </c>
      <c r="S91" s="136">
        <v>162</v>
      </c>
      <c r="T91" s="136">
        <v>152</v>
      </c>
      <c r="U91" s="136">
        <v>10</v>
      </c>
      <c r="V91" s="136">
        <v>81.9</v>
      </c>
      <c r="W91" s="136">
        <v>80</v>
      </c>
      <c r="X91" s="136">
        <v>1.9</v>
      </c>
      <c r="Y91" s="139" t="s">
        <v>230</v>
      </c>
      <c r="Z91" s="139" t="s">
        <v>241</v>
      </c>
      <c r="AA91" s="140" t="s">
        <v>229</v>
      </c>
      <c r="AB91" s="139" t="s">
        <v>608</v>
      </c>
      <c r="AC91" s="26"/>
      <c r="AD91" s="26"/>
      <c r="AE91" s="22"/>
      <c r="AF91" s="22" t="s">
        <v>229</v>
      </c>
      <c r="AG91" s="22"/>
      <c r="AH91" s="22"/>
    </row>
    <row r="92" spans="1:34" s="21" customFormat="1" ht="90.75">
      <c r="A92" s="5">
        <v>21</v>
      </c>
      <c r="B92" s="5" t="s">
        <v>218</v>
      </c>
      <c r="C92" s="5" t="s">
        <v>609</v>
      </c>
      <c r="D92" s="5" t="s">
        <v>610</v>
      </c>
      <c r="E92" s="135">
        <v>84864323071</v>
      </c>
      <c r="F92" s="5" t="s">
        <v>611</v>
      </c>
      <c r="G92" s="5" t="s">
        <v>612</v>
      </c>
      <c r="H92" s="5" t="s">
        <v>613</v>
      </c>
      <c r="I92" s="5" t="s">
        <v>613</v>
      </c>
      <c r="J92" s="5" t="s">
        <v>614</v>
      </c>
      <c r="K92" s="5" t="s">
        <v>227</v>
      </c>
      <c r="L92" s="5" t="s">
        <v>615</v>
      </c>
      <c r="M92" s="5"/>
      <c r="N92" s="5"/>
      <c r="O92" s="5"/>
      <c r="P92" s="5" t="s">
        <v>229</v>
      </c>
      <c r="Q92" s="5">
        <v>13</v>
      </c>
      <c r="R92" s="54">
        <v>10</v>
      </c>
      <c r="S92" s="5">
        <v>364.3</v>
      </c>
      <c r="T92" s="5">
        <v>291.5</v>
      </c>
      <c r="U92" s="5">
        <v>72.8</v>
      </c>
      <c r="V92" s="5">
        <v>205.3</v>
      </c>
      <c r="W92" s="5">
        <v>164.3</v>
      </c>
      <c r="X92" s="5">
        <v>41</v>
      </c>
      <c r="Y92" s="53"/>
      <c r="Z92" s="53" t="s">
        <v>241</v>
      </c>
      <c r="AA92" s="56" t="s">
        <v>229</v>
      </c>
      <c r="AB92" s="53"/>
      <c r="AC92" s="26"/>
      <c r="AD92" s="26"/>
      <c r="AE92" s="22"/>
      <c r="AF92" s="22" t="s">
        <v>229</v>
      </c>
      <c r="AG92" s="22" t="s">
        <v>229</v>
      </c>
      <c r="AH92" s="22"/>
    </row>
    <row r="93" spans="1:34" s="263" customFormat="1" ht="52.5">
      <c r="A93" s="264">
        <v>22</v>
      </c>
      <c r="B93" s="264" t="s">
        <v>218</v>
      </c>
      <c r="C93" s="264" t="s">
        <v>617</v>
      </c>
      <c r="D93" s="264" t="s">
        <v>618</v>
      </c>
      <c r="E93" s="265" t="s">
        <v>410</v>
      </c>
      <c r="F93" s="264" t="s">
        <v>619</v>
      </c>
      <c r="G93" s="264" t="s">
        <v>620</v>
      </c>
      <c r="H93" s="264" t="s">
        <v>412</v>
      </c>
      <c r="I93" s="264" t="s">
        <v>412</v>
      </c>
      <c r="J93" s="264" t="s">
        <v>576</v>
      </c>
      <c r="K93" s="264" t="s">
        <v>227</v>
      </c>
      <c r="L93" s="264" t="s">
        <v>272</v>
      </c>
      <c r="M93" s="264"/>
      <c r="N93" s="264"/>
      <c r="O93" s="264"/>
      <c r="P93" s="264" t="s">
        <v>229</v>
      </c>
      <c r="Q93" s="264">
        <v>13</v>
      </c>
      <c r="R93" s="266">
        <v>9</v>
      </c>
      <c r="S93" s="264">
        <v>257.1</v>
      </c>
      <c r="T93" s="264">
        <v>205.4</v>
      </c>
      <c r="U93" s="264">
        <v>51.7</v>
      </c>
      <c r="V93" s="264">
        <v>116.5</v>
      </c>
      <c r="W93" s="264">
        <v>106.5</v>
      </c>
      <c r="X93" s="264">
        <v>10</v>
      </c>
      <c r="Y93" s="249" t="s">
        <v>230</v>
      </c>
      <c r="Z93" s="249" t="s">
        <v>241</v>
      </c>
      <c r="AA93" s="250" t="s">
        <v>229</v>
      </c>
      <c r="AB93" s="249"/>
      <c r="AC93" s="261"/>
      <c r="AD93" s="261"/>
      <c r="AE93" s="262"/>
      <c r="AF93" s="262" t="s">
        <v>229</v>
      </c>
      <c r="AG93" s="262"/>
      <c r="AH93" s="262"/>
    </row>
    <row r="94" spans="1:34" s="21" customFormat="1" ht="52.5">
      <c r="A94" s="5">
        <v>23</v>
      </c>
      <c r="B94" s="5" t="s">
        <v>218</v>
      </c>
      <c r="C94" s="5" t="s">
        <v>621</v>
      </c>
      <c r="D94" s="5" t="s">
        <v>622</v>
      </c>
      <c r="E94" s="135" t="s">
        <v>623</v>
      </c>
      <c r="F94" s="5" t="s">
        <v>624</v>
      </c>
      <c r="G94" s="5" t="s">
        <v>622</v>
      </c>
      <c r="H94" s="5" t="s">
        <v>625</v>
      </c>
      <c r="I94" s="5" t="s">
        <v>626</v>
      </c>
      <c r="J94" s="5" t="s">
        <v>627</v>
      </c>
      <c r="K94" s="5"/>
      <c r="L94" s="5" t="s">
        <v>615</v>
      </c>
      <c r="M94" s="5"/>
      <c r="N94" s="5"/>
      <c r="O94" s="5" t="s">
        <v>229</v>
      </c>
      <c r="P94" s="5"/>
      <c r="Q94" s="5">
        <v>1</v>
      </c>
      <c r="R94" s="54">
        <v>1</v>
      </c>
      <c r="S94" s="5">
        <v>45.6</v>
      </c>
      <c r="T94" s="5">
        <v>35</v>
      </c>
      <c r="U94" s="5">
        <v>10.6</v>
      </c>
      <c r="V94" s="5">
        <v>17.2</v>
      </c>
      <c r="W94" s="5">
        <v>13.2</v>
      </c>
      <c r="X94" s="5">
        <v>4</v>
      </c>
      <c r="Y94" s="53" t="s">
        <v>230</v>
      </c>
      <c r="Z94" s="53" t="s">
        <v>343</v>
      </c>
      <c r="AA94" s="56"/>
      <c r="AB94" s="53"/>
      <c r="AC94" s="26"/>
      <c r="AD94" s="26"/>
      <c r="AE94" s="22"/>
      <c r="AF94" s="22" t="s">
        <v>229</v>
      </c>
      <c r="AG94" s="22"/>
      <c r="AH94" s="22"/>
    </row>
    <row r="95" spans="1:34" s="21" customFormat="1" ht="52.5">
      <c r="A95" s="5">
        <v>25</v>
      </c>
      <c r="B95" s="5" t="s">
        <v>218</v>
      </c>
      <c r="C95" s="5" t="s">
        <v>634</v>
      </c>
      <c r="D95" s="5" t="s">
        <v>635</v>
      </c>
      <c r="E95" s="135" t="s">
        <v>636</v>
      </c>
      <c r="F95" s="5" t="s">
        <v>236</v>
      </c>
      <c r="G95" s="5" t="s">
        <v>237</v>
      </c>
      <c r="H95" s="5" t="s">
        <v>238</v>
      </c>
      <c r="I95" s="5" t="s">
        <v>637</v>
      </c>
      <c r="J95" s="5" t="s">
        <v>576</v>
      </c>
      <c r="K95" s="5" t="s">
        <v>227</v>
      </c>
      <c r="L95" s="5" t="s">
        <v>272</v>
      </c>
      <c r="M95" s="5"/>
      <c r="N95" s="5"/>
      <c r="O95" s="5" t="s">
        <v>229</v>
      </c>
      <c r="P95" s="5"/>
      <c r="Q95" s="5">
        <v>7</v>
      </c>
      <c r="R95" s="54">
        <v>6</v>
      </c>
      <c r="S95" s="5">
        <v>171</v>
      </c>
      <c r="T95" s="5">
        <v>128</v>
      </c>
      <c r="U95" s="5">
        <v>43</v>
      </c>
      <c r="V95" s="5">
        <v>127.3</v>
      </c>
      <c r="W95" s="5">
        <v>100</v>
      </c>
      <c r="X95" s="5">
        <v>27.3</v>
      </c>
      <c r="Y95" s="53" t="s">
        <v>230</v>
      </c>
      <c r="Z95" s="53" t="s">
        <v>343</v>
      </c>
      <c r="AA95" s="56" t="s">
        <v>229</v>
      </c>
      <c r="AB95" s="53"/>
      <c r="AC95" s="26"/>
      <c r="AD95" s="26"/>
      <c r="AE95" s="22" t="s">
        <v>229</v>
      </c>
      <c r="AF95" s="22" t="s">
        <v>229</v>
      </c>
      <c r="AG95" s="22"/>
      <c r="AH95" s="22"/>
    </row>
    <row r="96" spans="1:34" s="21" customFormat="1" ht="90.75">
      <c r="A96" s="5">
        <v>28</v>
      </c>
      <c r="B96" s="5" t="s">
        <v>218</v>
      </c>
      <c r="C96" s="5" t="s">
        <v>609</v>
      </c>
      <c r="D96" s="5" t="s">
        <v>460</v>
      </c>
      <c r="E96" s="135">
        <v>84864320844</v>
      </c>
      <c r="F96" s="5" t="s">
        <v>611</v>
      </c>
      <c r="G96" s="5" t="s">
        <v>612</v>
      </c>
      <c r="H96" s="5" t="s">
        <v>613</v>
      </c>
      <c r="I96" s="5" t="s">
        <v>613</v>
      </c>
      <c r="J96" s="5" t="s">
        <v>614</v>
      </c>
      <c r="K96" s="5" t="s">
        <v>227</v>
      </c>
      <c r="L96" s="5" t="s">
        <v>240</v>
      </c>
      <c r="M96" s="5"/>
      <c r="N96" s="5"/>
      <c r="O96" s="5"/>
      <c r="P96" s="5" t="s">
        <v>229</v>
      </c>
      <c r="Q96" s="5">
        <v>11</v>
      </c>
      <c r="R96" s="54">
        <v>8</v>
      </c>
      <c r="S96" s="5">
        <v>306.4</v>
      </c>
      <c r="T96" s="5">
        <v>276.4</v>
      </c>
      <c r="U96" s="5">
        <v>30</v>
      </c>
      <c r="V96" s="5">
        <v>224</v>
      </c>
      <c r="W96" s="5">
        <v>209</v>
      </c>
      <c r="X96" s="5">
        <v>15</v>
      </c>
      <c r="Y96" s="53"/>
      <c r="Z96" s="53" t="s">
        <v>241</v>
      </c>
      <c r="AA96" s="56" t="s">
        <v>229</v>
      </c>
      <c r="AB96" s="53"/>
      <c r="AC96" s="26"/>
      <c r="AD96" s="26"/>
      <c r="AE96" s="22" t="s">
        <v>229</v>
      </c>
      <c r="AF96" s="22" t="s">
        <v>229</v>
      </c>
      <c r="AG96" s="22"/>
      <c r="AH96" s="22"/>
    </row>
    <row r="97" spans="1:34" s="21" customFormat="1" ht="65.25">
      <c r="A97" s="5">
        <v>30</v>
      </c>
      <c r="B97" s="136" t="s">
        <v>218</v>
      </c>
      <c r="C97" s="136" t="s">
        <v>654</v>
      </c>
      <c r="D97" s="136" t="s">
        <v>655</v>
      </c>
      <c r="E97" s="137">
        <v>84864320145</v>
      </c>
      <c r="F97" s="5" t="s">
        <v>656</v>
      </c>
      <c r="G97" s="5" t="s">
        <v>657</v>
      </c>
      <c r="H97" s="5" t="s">
        <v>658</v>
      </c>
      <c r="I97" s="5" t="s">
        <v>659</v>
      </c>
      <c r="J97" s="136" t="s">
        <v>576</v>
      </c>
      <c r="K97" s="136" t="s">
        <v>227</v>
      </c>
      <c r="L97" s="136" t="s">
        <v>279</v>
      </c>
      <c r="M97" s="136"/>
      <c r="N97" s="136"/>
      <c r="O97" s="136"/>
      <c r="P97" s="136" t="s">
        <v>229</v>
      </c>
      <c r="Q97" s="136">
        <v>10</v>
      </c>
      <c r="R97" s="138">
        <v>8</v>
      </c>
      <c r="S97" s="136">
        <v>574.5</v>
      </c>
      <c r="T97" s="136">
        <v>539.5</v>
      </c>
      <c r="U97" s="136">
        <v>35</v>
      </c>
      <c r="V97" s="136">
        <v>356</v>
      </c>
      <c r="W97" s="136">
        <v>338</v>
      </c>
      <c r="X97" s="136">
        <v>18</v>
      </c>
      <c r="Y97" s="139" t="s">
        <v>230</v>
      </c>
      <c r="Z97" s="139" t="s">
        <v>231</v>
      </c>
      <c r="AA97" s="140" t="s">
        <v>229</v>
      </c>
      <c r="AB97" s="139"/>
      <c r="AC97" s="26"/>
      <c r="AD97" s="26"/>
      <c r="AE97" s="22" t="s">
        <v>229</v>
      </c>
      <c r="AF97" s="22" t="s">
        <v>229</v>
      </c>
      <c r="AG97" s="22" t="s">
        <v>229</v>
      </c>
      <c r="AH97" s="22"/>
    </row>
    <row r="98" spans="1:34" s="21" customFormat="1" ht="90.75">
      <c r="A98" s="5">
        <v>33</v>
      </c>
      <c r="B98" s="5" t="s">
        <v>218</v>
      </c>
      <c r="C98" s="5" t="s">
        <v>654</v>
      </c>
      <c r="D98" s="5" t="s">
        <v>460</v>
      </c>
      <c r="E98" s="135">
        <v>9031138039</v>
      </c>
      <c r="F98" s="5" t="s">
        <v>656</v>
      </c>
      <c r="G98" s="5" t="s">
        <v>657</v>
      </c>
      <c r="H98" s="5" t="s">
        <v>658</v>
      </c>
      <c r="I98" s="5" t="s">
        <v>676</v>
      </c>
      <c r="J98" s="5" t="s">
        <v>614</v>
      </c>
      <c r="K98" s="5" t="s">
        <v>227</v>
      </c>
      <c r="L98" s="5" t="s">
        <v>279</v>
      </c>
      <c r="M98" s="5"/>
      <c r="N98" s="5"/>
      <c r="O98" s="5"/>
      <c r="P98" s="5" t="s">
        <v>229</v>
      </c>
      <c r="Q98" s="5">
        <v>13</v>
      </c>
      <c r="R98" s="54">
        <v>10</v>
      </c>
      <c r="S98" s="5">
        <v>567</v>
      </c>
      <c r="T98" s="5">
        <v>357</v>
      </c>
      <c r="U98" s="5">
        <v>210</v>
      </c>
      <c r="V98" s="5">
        <v>417</v>
      </c>
      <c r="W98" s="5">
        <v>247</v>
      </c>
      <c r="X98" s="5">
        <v>170</v>
      </c>
      <c r="Y98" s="53"/>
      <c r="Z98" s="53" t="s">
        <v>241</v>
      </c>
      <c r="AA98" s="56" t="s">
        <v>229</v>
      </c>
      <c r="AB98" s="53"/>
      <c r="AC98" s="26"/>
      <c r="AD98" s="26"/>
      <c r="AE98" s="22" t="s">
        <v>229</v>
      </c>
      <c r="AF98" s="22" t="s">
        <v>229</v>
      </c>
      <c r="AG98" s="22" t="s">
        <v>229</v>
      </c>
      <c r="AH98" s="22"/>
    </row>
    <row r="99" spans="1:34" s="21" customFormat="1" ht="65.25">
      <c r="A99" s="5">
        <v>38</v>
      </c>
      <c r="B99" s="5" t="s">
        <v>218</v>
      </c>
      <c r="C99" s="136" t="s">
        <v>601</v>
      </c>
      <c r="D99" s="136" t="s">
        <v>690</v>
      </c>
      <c r="E99" s="137">
        <v>89208096088</v>
      </c>
      <c r="F99" s="136" t="s">
        <v>603</v>
      </c>
      <c r="G99" s="136" t="s">
        <v>604</v>
      </c>
      <c r="H99" s="136" t="s">
        <v>605</v>
      </c>
      <c r="I99" s="136" t="s">
        <v>606</v>
      </c>
      <c r="J99" s="136" t="s">
        <v>568</v>
      </c>
      <c r="K99" s="136" t="s">
        <v>227</v>
      </c>
      <c r="L99" s="136" t="s">
        <v>607</v>
      </c>
      <c r="M99" s="136"/>
      <c r="N99" s="136"/>
      <c r="O99" s="136"/>
      <c r="P99" s="136" t="s">
        <v>229</v>
      </c>
      <c r="Q99" s="136">
        <v>5</v>
      </c>
      <c r="R99" s="138">
        <v>4</v>
      </c>
      <c r="S99" s="136">
        <v>117</v>
      </c>
      <c r="T99" s="136">
        <v>100</v>
      </c>
      <c r="U99" s="136">
        <v>17</v>
      </c>
      <c r="V99" s="136">
        <v>76.8</v>
      </c>
      <c r="W99" s="136">
        <v>68.8</v>
      </c>
      <c r="X99" s="136">
        <v>8</v>
      </c>
      <c r="Y99" s="139" t="s">
        <v>230</v>
      </c>
      <c r="Z99" s="139" t="s">
        <v>231</v>
      </c>
      <c r="AA99" s="140" t="s">
        <v>229</v>
      </c>
      <c r="AB99" s="139" t="s">
        <v>608</v>
      </c>
      <c r="AC99" s="53"/>
      <c r="AD99" s="53"/>
      <c r="AE99" s="5"/>
      <c r="AF99" s="5" t="s">
        <v>229</v>
      </c>
      <c r="AG99" s="5"/>
      <c r="AH99" s="5"/>
    </row>
    <row r="100" spans="1:34" s="21" customFormat="1" ht="65.25">
      <c r="A100" s="5">
        <v>40</v>
      </c>
      <c r="B100" s="5" t="s">
        <v>218</v>
      </c>
      <c r="C100" s="5" t="s">
        <v>695</v>
      </c>
      <c r="D100" s="5" t="s">
        <v>487</v>
      </c>
      <c r="E100" s="135" t="s">
        <v>221</v>
      </c>
      <c r="F100" s="5" t="s">
        <v>222</v>
      </c>
      <c r="G100" s="5" t="s">
        <v>223</v>
      </c>
      <c r="H100" s="5" t="s">
        <v>224</v>
      </c>
      <c r="I100" s="5" t="s">
        <v>696</v>
      </c>
      <c r="J100" s="5" t="s">
        <v>697</v>
      </c>
      <c r="K100" s="5"/>
      <c r="L100" s="5" t="s">
        <v>698</v>
      </c>
      <c r="M100" s="5"/>
      <c r="N100" s="5"/>
      <c r="O100" s="5"/>
      <c r="P100" s="5" t="s">
        <v>229</v>
      </c>
      <c r="Q100" s="5">
        <v>2</v>
      </c>
      <c r="R100" s="54">
        <v>2</v>
      </c>
      <c r="S100" s="5">
        <v>62</v>
      </c>
      <c r="T100" s="5">
        <v>60</v>
      </c>
      <c r="U100" s="5">
        <v>2</v>
      </c>
      <c r="V100" s="5">
        <v>55</v>
      </c>
      <c r="W100" s="5">
        <v>53</v>
      </c>
      <c r="X100" s="5">
        <v>2</v>
      </c>
      <c r="Y100" s="53" t="s">
        <v>230</v>
      </c>
      <c r="Z100" s="53" t="s">
        <v>231</v>
      </c>
      <c r="AA100" s="56" t="s">
        <v>229</v>
      </c>
      <c r="AB100" s="53"/>
      <c r="AC100" s="53"/>
      <c r="AD100" s="53"/>
      <c r="AE100" s="5"/>
      <c r="AF100" s="5" t="s">
        <v>229</v>
      </c>
      <c r="AG100" s="5"/>
      <c r="AH100" s="5"/>
    </row>
    <row r="101" spans="1:34" s="21" customFormat="1" ht="65.25">
      <c r="A101" s="5">
        <v>44</v>
      </c>
      <c r="B101" s="5" t="s">
        <v>218</v>
      </c>
      <c r="C101" s="5" t="s">
        <v>654</v>
      </c>
      <c r="D101" s="5" t="s">
        <v>924</v>
      </c>
      <c r="E101" s="135">
        <v>89536159791</v>
      </c>
      <c r="F101" s="5" t="s">
        <v>656</v>
      </c>
      <c r="G101" s="5" t="s">
        <v>657</v>
      </c>
      <c r="H101" s="5" t="s">
        <v>658</v>
      </c>
      <c r="I101" s="5" t="s">
        <v>925</v>
      </c>
      <c r="J101" s="5" t="s">
        <v>297</v>
      </c>
      <c r="K101" s="5" t="s">
        <v>278</v>
      </c>
      <c r="L101" s="5" t="s">
        <v>279</v>
      </c>
      <c r="M101" s="5" t="s">
        <v>229</v>
      </c>
      <c r="N101" s="5"/>
      <c r="O101" s="5"/>
      <c r="P101" s="5" t="s">
        <v>229</v>
      </c>
      <c r="Q101" s="5">
        <v>13</v>
      </c>
      <c r="R101" s="54">
        <v>10</v>
      </c>
      <c r="S101" s="5">
        <v>567</v>
      </c>
      <c r="T101" s="5">
        <v>357</v>
      </c>
      <c r="U101" s="5">
        <v>210</v>
      </c>
      <c r="V101" s="5">
        <v>417</v>
      </c>
      <c r="W101" s="5">
        <v>247</v>
      </c>
      <c r="X101" s="5">
        <v>170</v>
      </c>
      <c r="Y101" s="53"/>
      <c r="Z101" s="53" t="s">
        <v>241</v>
      </c>
      <c r="AA101" s="56" t="s">
        <v>229</v>
      </c>
      <c r="AB101" s="53"/>
      <c r="AC101" s="53"/>
      <c r="AD101" s="53"/>
      <c r="AE101" s="5" t="s">
        <v>229</v>
      </c>
      <c r="AF101" s="5" t="s">
        <v>229</v>
      </c>
      <c r="AG101" s="5" t="s">
        <v>229</v>
      </c>
      <c r="AH101" s="5"/>
    </row>
    <row r="102" spans="1:34" s="21" customFormat="1" ht="90.75">
      <c r="A102" s="5">
        <v>7</v>
      </c>
      <c r="B102" s="5" t="s">
        <v>543</v>
      </c>
      <c r="C102" s="5" t="s">
        <v>544</v>
      </c>
      <c r="D102" s="5" t="s">
        <v>545</v>
      </c>
      <c r="E102" s="135" t="s">
        <v>523</v>
      </c>
      <c r="F102" s="5" t="s">
        <v>222</v>
      </c>
      <c r="G102" s="5" t="s">
        <v>223</v>
      </c>
      <c r="H102" s="55" t="s">
        <v>518</v>
      </c>
      <c r="I102" s="5" t="s">
        <v>546</v>
      </c>
      <c r="J102" s="5" t="s">
        <v>520</v>
      </c>
      <c r="K102" s="5" t="s">
        <v>227</v>
      </c>
      <c r="L102" s="5" t="s">
        <v>525</v>
      </c>
      <c r="M102" s="5"/>
      <c r="N102" s="5"/>
      <c r="O102" s="5"/>
      <c r="P102" s="5" t="s">
        <v>229</v>
      </c>
      <c r="Q102" s="5">
        <v>1</v>
      </c>
      <c r="R102" s="54">
        <v>1</v>
      </c>
      <c r="S102" s="5">
        <v>81.4</v>
      </c>
      <c r="T102" s="5">
        <v>61</v>
      </c>
      <c r="U102" s="5">
        <v>20.4</v>
      </c>
      <c r="V102" s="5">
        <v>50.9</v>
      </c>
      <c r="W102" s="5">
        <v>38</v>
      </c>
      <c r="X102" s="5">
        <v>12.9</v>
      </c>
      <c r="Y102" s="53" t="s">
        <v>230</v>
      </c>
      <c r="Z102" s="53" t="s">
        <v>241</v>
      </c>
      <c r="AA102" s="53" t="s">
        <v>229</v>
      </c>
      <c r="AB102" s="53"/>
      <c r="AC102" s="26"/>
      <c r="AD102" s="26"/>
      <c r="AE102" s="22"/>
      <c r="AF102" s="22" t="s">
        <v>229</v>
      </c>
      <c r="AG102" s="22"/>
      <c r="AH102" s="22"/>
    </row>
    <row r="103" spans="1:34" s="59" customFormat="1" ht="65.25">
      <c r="A103" s="5">
        <v>12</v>
      </c>
      <c r="B103" s="5" t="s">
        <v>543</v>
      </c>
      <c r="C103" s="5" t="s">
        <v>260</v>
      </c>
      <c r="D103" s="5" t="s">
        <v>566</v>
      </c>
      <c r="E103" s="135">
        <v>9066637750</v>
      </c>
      <c r="F103" s="5" t="s">
        <v>567</v>
      </c>
      <c r="G103" s="5" t="s">
        <v>263</v>
      </c>
      <c r="H103" s="5" t="s">
        <v>264</v>
      </c>
      <c r="I103" s="5" t="s">
        <v>264</v>
      </c>
      <c r="J103" s="5" t="s">
        <v>568</v>
      </c>
      <c r="K103" s="5" t="s">
        <v>227</v>
      </c>
      <c r="L103" s="5" t="s">
        <v>258</v>
      </c>
      <c r="M103" s="5"/>
      <c r="N103" s="5"/>
      <c r="O103" s="5" t="s">
        <v>229</v>
      </c>
      <c r="P103" s="5"/>
      <c r="Q103" s="5">
        <v>2</v>
      </c>
      <c r="R103" s="54">
        <v>2</v>
      </c>
      <c r="S103" s="5">
        <v>86</v>
      </c>
      <c r="T103" s="5">
        <v>69</v>
      </c>
      <c r="U103" s="5">
        <v>17</v>
      </c>
      <c r="V103" s="5">
        <v>50</v>
      </c>
      <c r="W103" s="5">
        <v>40</v>
      </c>
      <c r="X103" s="5">
        <v>10</v>
      </c>
      <c r="Y103" s="53" t="s">
        <v>230</v>
      </c>
      <c r="Z103" s="53" t="s">
        <v>241</v>
      </c>
      <c r="AA103" s="53" t="s">
        <v>229</v>
      </c>
      <c r="AB103" s="53"/>
      <c r="AC103" s="26"/>
      <c r="AD103" s="26"/>
      <c r="AE103" s="22"/>
      <c r="AF103" s="22" t="s">
        <v>229</v>
      </c>
      <c r="AG103" s="22"/>
      <c r="AH103" s="22"/>
    </row>
    <row r="104" spans="1:34" s="59" customFormat="1" ht="65.25">
      <c r="A104" s="5">
        <v>26</v>
      </c>
      <c r="B104" s="5" t="s">
        <v>616</v>
      </c>
      <c r="C104" s="5" t="s">
        <v>638</v>
      </c>
      <c r="D104" s="5" t="s">
        <v>639</v>
      </c>
      <c r="E104" s="135" t="s">
        <v>640</v>
      </c>
      <c r="F104" s="5" t="s">
        <v>641</v>
      </c>
      <c r="G104" s="5" t="s">
        <v>642</v>
      </c>
      <c r="H104" s="5" t="s">
        <v>643</v>
      </c>
      <c r="I104" s="5" t="s">
        <v>644</v>
      </c>
      <c r="J104" s="5" t="s">
        <v>576</v>
      </c>
      <c r="K104" s="5" t="s">
        <v>227</v>
      </c>
      <c r="L104" s="5" t="s">
        <v>382</v>
      </c>
      <c r="M104" s="5"/>
      <c r="N104" s="5"/>
      <c r="O104" s="5" t="s">
        <v>229</v>
      </c>
      <c r="P104" s="5"/>
      <c r="Q104" s="5">
        <v>1</v>
      </c>
      <c r="R104" s="54">
        <v>1</v>
      </c>
      <c r="S104" s="5">
        <v>108</v>
      </c>
      <c r="T104" s="5">
        <v>75</v>
      </c>
      <c r="U104" s="5">
        <v>33</v>
      </c>
      <c r="V104" s="5">
        <v>25</v>
      </c>
      <c r="W104" s="5">
        <v>15</v>
      </c>
      <c r="X104" s="5">
        <v>10</v>
      </c>
      <c r="Y104" s="53" t="s">
        <v>230</v>
      </c>
      <c r="Z104" s="53" t="s">
        <v>241</v>
      </c>
      <c r="AA104" s="56"/>
      <c r="AB104" s="53"/>
      <c r="AC104" s="26"/>
      <c r="AD104" s="26"/>
      <c r="AE104" s="22"/>
      <c r="AF104" s="22" t="s">
        <v>229</v>
      </c>
      <c r="AG104" s="22"/>
      <c r="AH104" s="22"/>
    </row>
    <row r="105" spans="1:34" s="59" customFormat="1" ht="52.5">
      <c r="A105" s="5">
        <v>29</v>
      </c>
      <c r="B105" s="141" t="s">
        <v>616</v>
      </c>
      <c r="C105" s="141" t="s">
        <v>651</v>
      </c>
      <c r="D105" s="141" t="s">
        <v>652</v>
      </c>
      <c r="E105" s="142">
        <v>9202817416</v>
      </c>
      <c r="F105" s="141" t="s">
        <v>630</v>
      </c>
      <c r="G105" s="141" t="s">
        <v>631</v>
      </c>
      <c r="H105" s="141" t="s">
        <v>632</v>
      </c>
      <c r="I105" s="141" t="s">
        <v>632</v>
      </c>
      <c r="J105" s="141" t="s">
        <v>297</v>
      </c>
      <c r="K105" s="141" t="s">
        <v>278</v>
      </c>
      <c r="L105" s="141" t="s">
        <v>653</v>
      </c>
      <c r="M105" s="141"/>
      <c r="N105" s="141"/>
      <c r="O105" s="141" t="s">
        <v>229</v>
      </c>
      <c r="P105" s="141"/>
      <c r="Q105" s="141">
        <v>1</v>
      </c>
      <c r="R105" s="143">
        <v>1</v>
      </c>
      <c r="S105" s="141">
        <v>100</v>
      </c>
      <c r="T105" s="141">
        <v>75</v>
      </c>
      <c r="U105" s="141">
        <v>25</v>
      </c>
      <c r="V105" s="141">
        <v>50</v>
      </c>
      <c r="W105" s="141">
        <v>35</v>
      </c>
      <c r="X105" s="141">
        <v>15</v>
      </c>
      <c r="Y105" s="144" t="s">
        <v>230</v>
      </c>
      <c r="Z105" s="144" t="s">
        <v>231</v>
      </c>
      <c r="AA105" s="145" t="s">
        <v>229</v>
      </c>
      <c r="AB105" s="144"/>
      <c r="AC105" s="26"/>
      <c r="AD105" s="26"/>
      <c r="AE105" s="22"/>
      <c r="AF105" s="22" t="s">
        <v>229</v>
      </c>
      <c r="AG105" s="22"/>
      <c r="AH105" s="22"/>
    </row>
    <row r="106" spans="1:34" s="59" customFormat="1" ht="52.5">
      <c r="A106" s="5">
        <v>35</v>
      </c>
      <c r="B106" s="5" t="s">
        <v>616</v>
      </c>
      <c r="C106" s="5" t="s">
        <v>681</v>
      </c>
      <c r="D106" s="5" t="s">
        <v>682</v>
      </c>
      <c r="E106" s="135">
        <v>89200844757</v>
      </c>
      <c r="F106" s="5" t="s">
        <v>683</v>
      </c>
      <c r="G106" s="5" t="s">
        <v>682</v>
      </c>
      <c r="H106" s="5" t="s">
        <v>684</v>
      </c>
      <c r="I106" s="5" t="s">
        <v>684</v>
      </c>
      <c r="J106" s="5" t="s">
        <v>576</v>
      </c>
      <c r="K106" s="5"/>
      <c r="L106" s="5" t="s">
        <v>318</v>
      </c>
      <c r="M106" s="5"/>
      <c r="N106" s="5"/>
      <c r="O106" s="5" t="s">
        <v>229</v>
      </c>
      <c r="P106" s="5"/>
      <c r="Q106" s="5">
        <v>2</v>
      </c>
      <c r="R106" s="54">
        <v>2</v>
      </c>
      <c r="S106" s="5">
        <v>52</v>
      </c>
      <c r="T106" s="5">
        <v>48</v>
      </c>
      <c r="U106" s="5">
        <v>4</v>
      </c>
      <c r="V106" s="5">
        <v>22</v>
      </c>
      <c r="W106" s="5">
        <v>18</v>
      </c>
      <c r="X106" s="5">
        <v>4</v>
      </c>
      <c r="Y106" s="53" t="s">
        <v>230</v>
      </c>
      <c r="Z106" s="53" t="s">
        <v>343</v>
      </c>
      <c r="AA106" s="56"/>
      <c r="AB106" s="53"/>
      <c r="AC106" s="26"/>
      <c r="AD106" s="26"/>
      <c r="AE106" s="22"/>
      <c r="AF106" s="22" t="s">
        <v>229</v>
      </c>
      <c r="AG106" s="22"/>
      <c r="AH106" s="22"/>
    </row>
    <row r="107" spans="1:34" s="59" customFormat="1" ht="52.5">
      <c r="A107" s="5">
        <v>41</v>
      </c>
      <c r="B107" s="5" t="s">
        <v>616</v>
      </c>
      <c r="C107" s="5" t="s">
        <v>699</v>
      </c>
      <c r="D107" s="5" t="s">
        <v>639</v>
      </c>
      <c r="E107" s="135">
        <v>9202817416</v>
      </c>
      <c r="F107" s="5" t="s">
        <v>630</v>
      </c>
      <c r="G107" s="5" t="s">
        <v>631</v>
      </c>
      <c r="H107" s="5" t="s">
        <v>632</v>
      </c>
      <c r="I107" s="5" t="s">
        <v>632</v>
      </c>
      <c r="J107" s="5" t="s">
        <v>297</v>
      </c>
      <c r="K107" s="5" t="s">
        <v>278</v>
      </c>
      <c r="L107" s="5" t="s">
        <v>653</v>
      </c>
      <c r="M107" s="5"/>
      <c r="N107" s="5"/>
      <c r="O107" s="5" t="s">
        <v>229</v>
      </c>
      <c r="P107" s="5"/>
      <c r="Q107" s="5">
        <v>2</v>
      </c>
      <c r="R107" s="54">
        <v>2</v>
      </c>
      <c r="S107" s="5">
        <v>45</v>
      </c>
      <c r="T107" s="5">
        <v>40</v>
      </c>
      <c r="U107" s="5">
        <v>5</v>
      </c>
      <c r="V107" s="5">
        <v>25</v>
      </c>
      <c r="W107" s="5">
        <v>20</v>
      </c>
      <c r="X107" s="5">
        <v>5</v>
      </c>
      <c r="Y107" s="53" t="s">
        <v>230</v>
      </c>
      <c r="Z107" s="53" t="s">
        <v>241</v>
      </c>
      <c r="AA107" s="53" t="s">
        <v>232</v>
      </c>
      <c r="AB107" s="53"/>
      <c r="AC107" s="53"/>
      <c r="AD107" s="53"/>
      <c r="AE107" s="5"/>
      <c r="AF107" s="5" t="s">
        <v>229</v>
      </c>
      <c r="AG107" s="5"/>
      <c r="AH107" s="5"/>
    </row>
    <row r="108" spans="1:34" s="59" customFormat="1" ht="90.75">
      <c r="A108" s="147">
        <v>5</v>
      </c>
      <c r="B108" s="147" t="s">
        <v>251</v>
      </c>
      <c r="C108" s="147" t="s">
        <v>534</v>
      </c>
      <c r="D108" s="147" t="s">
        <v>535</v>
      </c>
      <c r="E108" s="148" t="s">
        <v>536</v>
      </c>
      <c r="F108" s="147" t="s">
        <v>222</v>
      </c>
      <c r="G108" s="147" t="s">
        <v>223</v>
      </c>
      <c r="H108" s="149" t="s">
        <v>518</v>
      </c>
      <c r="I108" s="147" t="s">
        <v>537</v>
      </c>
      <c r="J108" s="147" t="s">
        <v>520</v>
      </c>
      <c r="K108" s="147" t="s">
        <v>227</v>
      </c>
      <c r="L108" s="147" t="s">
        <v>538</v>
      </c>
      <c r="M108" s="147"/>
      <c r="N108" s="147"/>
      <c r="O108" s="147"/>
      <c r="P108" s="147" t="s">
        <v>229</v>
      </c>
      <c r="Q108" s="147">
        <v>2</v>
      </c>
      <c r="R108" s="150">
        <v>2</v>
      </c>
      <c r="S108" s="147">
        <v>113</v>
      </c>
      <c r="T108" s="147">
        <v>60</v>
      </c>
      <c r="U108" s="147">
        <v>15</v>
      </c>
      <c r="V108" s="147">
        <v>87.5</v>
      </c>
      <c r="W108" s="147">
        <v>79.5</v>
      </c>
      <c r="X108" s="147">
        <v>8</v>
      </c>
      <c r="Y108" s="151" t="s">
        <v>230</v>
      </c>
      <c r="Z108" s="151" t="s">
        <v>241</v>
      </c>
      <c r="AA108" s="152" t="s">
        <v>229</v>
      </c>
      <c r="AB108" s="151" t="s">
        <v>229</v>
      </c>
      <c r="AC108" s="26">
        <v>1000</v>
      </c>
      <c r="AD108" s="26"/>
      <c r="AE108" s="22" t="s">
        <v>229</v>
      </c>
      <c r="AF108" s="22" t="s">
        <v>229</v>
      </c>
      <c r="AG108" s="22"/>
      <c r="AH108" s="22"/>
    </row>
    <row r="109" spans="1:34" s="59" customFormat="1" ht="65.25">
      <c r="A109" s="5">
        <v>11</v>
      </c>
      <c r="B109" s="5" t="s">
        <v>251</v>
      </c>
      <c r="C109" s="5" t="s">
        <v>260</v>
      </c>
      <c r="D109" s="5" t="s">
        <v>253</v>
      </c>
      <c r="E109" s="135">
        <v>84864321337</v>
      </c>
      <c r="F109" s="5" t="s">
        <v>561</v>
      </c>
      <c r="G109" s="5" t="s">
        <v>562</v>
      </c>
      <c r="H109" s="5" t="s">
        <v>563</v>
      </c>
      <c r="I109" s="5" t="s">
        <v>564</v>
      </c>
      <c r="J109" s="5" t="s">
        <v>565</v>
      </c>
      <c r="K109" s="5"/>
      <c r="L109" s="5" t="s">
        <v>368</v>
      </c>
      <c r="M109" s="5"/>
      <c r="N109" s="5"/>
      <c r="O109" s="5" t="s">
        <v>229</v>
      </c>
      <c r="P109" s="5"/>
      <c r="Q109" s="5">
        <v>3</v>
      </c>
      <c r="R109" s="54">
        <v>2</v>
      </c>
      <c r="S109" s="5">
        <v>93.1</v>
      </c>
      <c r="T109" s="5">
        <v>74.1</v>
      </c>
      <c r="U109" s="5">
        <v>19</v>
      </c>
      <c r="V109" s="5">
        <v>44.8</v>
      </c>
      <c r="W109" s="5">
        <v>35.6</v>
      </c>
      <c r="X109" s="5">
        <v>9.2</v>
      </c>
      <c r="Y109" s="53"/>
      <c r="Z109" s="53" t="s">
        <v>231</v>
      </c>
      <c r="AA109" s="56"/>
      <c r="AB109" s="53"/>
      <c r="AC109" s="26"/>
      <c r="AD109" s="164"/>
      <c r="AE109" s="22"/>
      <c r="AF109" s="22" t="s">
        <v>229</v>
      </c>
      <c r="AG109" s="22"/>
      <c r="AH109" s="22"/>
    </row>
    <row r="110" spans="1:34" s="59" customFormat="1" ht="52.5">
      <c r="A110" s="5">
        <v>36</v>
      </c>
      <c r="B110" s="4" t="s">
        <v>251</v>
      </c>
      <c r="C110" s="5" t="s">
        <v>260</v>
      </c>
      <c r="D110" s="5" t="s">
        <v>685</v>
      </c>
      <c r="E110" s="135">
        <v>9208127548</v>
      </c>
      <c r="F110" s="5" t="s">
        <v>686</v>
      </c>
      <c r="G110" s="5" t="s">
        <v>687</v>
      </c>
      <c r="H110" s="5" t="s">
        <v>688</v>
      </c>
      <c r="I110" s="5" t="s">
        <v>688</v>
      </c>
      <c r="J110" s="5" t="s">
        <v>226</v>
      </c>
      <c r="K110" s="5" t="s">
        <v>227</v>
      </c>
      <c r="L110" s="5" t="s">
        <v>382</v>
      </c>
      <c r="M110" s="5"/>
      <c r="N110" s="5"/>
      <c r="O110" s="5" t="s">
        <v>229</v>
      </c>
      <c r="P110" s="5"/>
      <c r="Q110" s="5">
        <v>4</v>
      </c>
      <c r="R110" s="54">
        <v>3</v>
      </c>
      <c r="S110" s="5">
        <v>90</v>
      </c>
      <c r="T110" s="5">
        <v>80</v>
      </c>
      <c r="U110" s="5">
        <v>10</v>
      </c>
      <c r="V110" s="5">
        <v>30</v>
      </c>
      <c r="W110" s="5">
        <v>25</v>
      </c>
      <c r="X110" s="5">
        <v>5</v>
      </c>
      <c r="Y110" s="53" t="s">
        <v>230</v>
      </c>
      <c r="Z110" s="53" t="s">
        <v>241</v>
      </c>
      <c r="AA110" s="56" t="s">
        <v>232</v>
      </c>
      <c r="AB110" s="53"/>
      <c r="AC110" s="26"/>
      <c r="AD110" s="164"/>
      <c r="AE110" s="22"/>
      <c r="AF110" s="22" t="s">
        <v>229</v>
      </c>
      <c r="AG110" s="22"/>
      <c r="AH110" s="22"/>
    </row>
    <row r="111" spans="1:34" s="59" customFormat="1" ht="52.5">
      <c r="A111" s="5">
        <v>37</v>
      </c>
      <c r="B111" s="4" t="s">
        <v>251</v>
      </c>
      <c r="C111" s="5" t="s">
        <v>260</v>
      </c>
      <c r="D111" s="5" t="s">
        <v>689</v>
      </c>
      <c r="E111" s="135">
        <v>9092254822</v>
      </c>
      <c r="F111" s="5" t="s">
        <v>686</v>
      </c>
      <c r="G111" s="5" t="s">
        <v>687</v>
      </c>
      <c r="H111" s="5" t="s">
        <v>688</v>
      </c>
      <c r="I111" s="5" t="s">
        <v>688</v>
      </c>
      <c r="J111" s="5" t="s">
        <v>226</v>
      </c>
      <c r="K111" s="5" t="s">
        <v>227</v>
      </c>
      <c r="L111" s="5" t="s">
        <v>382</v>
      </c>
      <c r="M111" s="5"/>
      <c r="N111" s="5"/>
      <c r="O111" s="5" t="s">
        <v>229</v>
      </c>
      <c r="P111" s="5"/>
      <c r="Q111" s="5">
        <v>3</v>
      </c>
      <c r="R111" s="54">
        <v>2</v>
      </c>
      <c r="S111" s="5">
        <v>72.1</v>
      </c>
      <c r="T111" s="5">
        <v>62.1</v>
      </c>
      <c r="U111" s="5">
        <v>10</v>
      </c>
      <c r="V111" s="5">
        <v>40.8</v>
      </c>
      <c r="W111" s="5">
        <v>35.8</v>
      </c>
      <c r="X111" s="5">
        <v>5</v>
      </c>
      <c r="Y111" s="53" t="s">
        <v>230</v>
      </c>
      <c r="Z111" s="53" t="s">
        <v>241</v>
      </c>
      <c r="AA111" s="53" t="s">
        <v>232</v>
      </c>
      <c r="AB111" s="53"/>
      <c r="AC111" s="53"/>
      <c r="AD111" s="56"/>
      <c r="AE111" s="5"/>
      <c r="AF111" s="5" t="s">
        <v>229</v>
      </c>
      <c r="AG111" s="5"/>
      <c r="AH111" s="5"/>
    </row>
    <row r="112" spans="1:34" s="50" customFormat="1" ht="71.25" customHeight="1" thickBot="1">
      <c r="A112" s="23"/>
      <c r="B112" s="39"/>
      <c r="C112" s="23" t="s">
        <v>68</v>
      </c>
      <c r="D112" s="23" t="s">
        <v>27</v>
      </c>
      <c r="E112" s="23"/>
      <c r="F112" s="23"/>
      <c r="G112" s="62">
        <f>COUNTIF(C67:C111,"*")</f>
        <v>45</v>
      </c>
      <c r="H112" s="62"/>
      <c r="I112" s="62"/>
      <c r="J112" s="64"/>
      <c r="K112" s="62"/>
      <c r="L112" s="23"/>
      <c r="M112" s="23">
        <f>COUNTIF(M67:M111,"*")</f>
        <v>5</v>
      </c>
      <c r="N112" s="23">
        <f>COUNTIF(N67:N111,"*")</f>
        <v>0</v>
      </c>
      <c r="O112" s="23">
        <f>COUNTIF(O67:O111,"*")</f>
        <v>27</v>
      </c>
      <c r="P112" s="23">
        <f>COUNTIF(P67:P111,"*")</f>
        <v>18</v>
      </c>
      <c r="Q112" s="23">
        <f aca="true" t="shared" si="2" ref="Q112:X112">SUM(Q67:Q111)</f>
        <v>163</v>
      </c>
      <c r="R112" s="23">
        <f t="shared" si="2"/>
        <v>135</v>
      </c>
      <c r="S112" s="23">
        <f t="shared" si="2"/>
        <v>6176.8</v>
      </c>
      <c r="T112" s="23">
        <f t="shared" si="2"/>
        <v>4696.700000000001</v>
      </c>
      <c r="U112" s="23">
        <f t="shared" si="2"/>
        <v>1145.6</v>
      </c>
      <c r="V112" s="23">
        <f t="shared" si="2"/>
        <v>3625.4000000000005</v>
      </c>
      <c r="W112" s="23">
        <f t="shared" si="2"/>
        <v>2920.1000000000004</v>
      </c>
      <c r="X112" s="23">
        <f t="shared" si="2"/>
        <v>705.3000000000001</v>
      </c>
      <c r="Y112" s="63"/>
      <c r="Z112" s="63"/>
      <c r="AA112" s="24">
        <f>COUNTIF(AA103:AA111,"*")</f>
        <v>6</v>
      </c>
      <c r="AB112" s="23">
        <f>COUNTIF(AB103:AB111,"*")</f>
        <v>1</v>
      </c>
      <c r="AC112" s="23">
        <v>1329</v>
      </c>
      <c r="AD112" s="24">
        <v>249</v>
      </c>
      <c r="AE112" s="23">
        <v>7</v>
      </c>
      <c r="AF112" s="23">
        <v>45</v>
      </c>
      <c r="AG112" s="23">
        <v>0</v>
      </c>
      <c r="AH112" s="23">
        <v>0</v>
      </c>
    </row>
    <row r="113" spans="1:34" s="21" customFormat="1" ht="27.75" thickBot="1">
      <c r="A113" s="16" t="s">
        <v>18</v>
      </c>
      <c r="B113" s="27"/>
      <c r="C113" s="28" t="s">
        <v>19</v>
      </c>
      <c r="D113" s="29"/>
      <c r="E113" s="29" t="s">
        <v>19</v>
      </c>
      <c r="F113" s="29"/>
      <c r="G113" s="29" t="s">
        <v>19</v>
      </c>
      <c r="H113" s="29"/>
      <c r="I113" s="29"/>
      <c r="J113" s="30" t="s">
        <v>80</v>
      </c>
      <c r="K113" s="31"/>
      <c r="L113" s="29"/>
      <c r="M113" s="29" t="s">
        <v>19</v>
      </c>
      <c r="N113" s="32"/>
      <c r="O113" s="33"/>
      <c r="P113" s="33"/>
      <c r="Q113" s="33"/>
      <c r="R113" s="33"/>
      <c r="S113" s="33" t="s">
        <v>19</v>
      </c>
      <c r="T113" s="33"/>
      <c r="U113" s="33"/>
      <c r="V113" s="33"/>
      <c r="W113" s="33"/>
      <c r="X113" s="33" t="s">
        <v>19</v>
      </c>
      <c r="Y113" s="25"/>
      <c r="AE113" s="22"/>
      <c r="AF113" s="22"/>
      <c r="AG113" s="22"/>
      <c r="AH113" s="22"/>
    </row>
    <row r="114" spans="1:34" s="59" customFormat="1" ht="65.25">
      <c r="A114" s="5">
        <v>1</v>
      </c>
      <c r="B114" s="120" t="s">
        <v>218</v>
      </c>
      <c r="C114" s="43" t="s">
        <v>710</v>
      </c>
      <c r="D114" s="43" t="s">
        <v>655</v>
      </c>
      <c r="E114" s="43" t="s">
        <v>711</v>
      </c>
      <c r="F114" s="43" t="s">
        <v>711</v>
      </c>
      <c r="G114" s="43" t="s">
        <v>712</v>
      </c>
      <c r="H114" s="43" t="s">
        <v>713</v>
      </c>
      <c r="I114" s="43" t="s">
        <v>714</v>
      </c>
      <c r="J114" s="43"/>
      <c r="K114" s="43"/>
      <c r="L114" s="43" t="s">
        <v>279</v>
      </c>
      <c r="M114" s="43"/>
      <c r="N114" s="43"/>
      <c r="O114" s="5"/>
      <c r="P114" s="5" t="s">
        <v>229</v>
      </c>
      <c r="Q114" s="5">
        <v>24</v>
      </c>
      <c r="R114" s="5">
        <v>16</v>
      </c>
      <c r="S114" s="5">
        <v>250.8</v>
      </c>
      <c r="T114" s="5"/>
      <c r="U114" s="5">
        <v>250.8</v>
      </c>
      <c r="V114" s="5">
        <v>210.8</v>
      </c>
      <c r="W114" s="5"/>
      <c r="X114" s="5">
        <v>210.8</v>
      </c>
      <c r="Y114" s="53"/>
      <c r="Z114" s="53" t="s">
        <v>241</v>
      </c>
      <c r="AA114" s="53"/>
      <c r="AB114" s="53"/>
      <c r="AC114" s="53"/>
      <c r="AD114" s="56"/>
      <c r="AE114" s="5"/>
      <c r="AF114" s="5"/>
      <c r="AG114" s="5"/>
      <c r="AH114" s="5"/>
    </row>
    <row r="115" spans="1:34" s="59" customFormat="1" ht="65.25">
      <c r="A115" s="5">
        <v>2</v>
      </c>
      <c r="B115" s="120" t="s">
        <v>218</v>
      </c>
      <c r="C115" s="43" t="s">
        <v>715</v>
      </c>
      <c r="D115" s="43" t="s">
        <v>716</v>
      </c>
      <c r="E115" s="43" t="s">
        <v>717</v>
      </c>
      <c r="F115" s="43" t="s">
        <v>718</v>
      </c>
      <c r="G115" s="43" t="s">
        <v>719</v>
      </c>
      <c r="H115" s="43" t="s">
        <v>716</v>
      </c>
      <c r="I115" s="43" t="s">
        <v>714</v>
      </c>
      <c r="J115" s="43"/>
      <c r="K115" s="43"/>
      <c r="L115" s="43" t="s">
        <v>228</v>
      </c>
      <c r="M115" s="43"/>
      <c r="N115" s="43"/>
      <c r="O115" s="43"/>
      <c r="P115" s="43"/>
      <c r="Q115" s="43">
        <v>15</v>
      </c>
      <c r="R115" s="60">
        <v>12</v>
      </c>
      <c r="S115" s="5">
        <v>565.6</v>
      </c>
      <c r="T115" s="5"/>
      <c r="U115" s="5">
        <v>565.6</v>
      </c>
      <c r="V115" s="5">
        <v>483.2</v>
      </c>
      <c r="W115" s="5"/>
      <c r="X115" s="5">
        <v>483.2</v>
      </c>
      <c r="Y115" s="53"/>
      <c r="Z115" s="53" t="s">
        <v>241</v>
      </c>
      <c r="AA115" s="53"/>
      <c r="AB115" s="53"/>
      <c r="AC115" s="53"/>
      <c r="AD115" s="56"/>
      <c r="AE115" s="5"/>
      <c r="AF115" s="5"/>
      <c r="AG115" s="5"/>
      <c r="AH115" s="5"/>
    </row>
    <row r="116" spans="1:34" s="59" customFormat="1" ht="90.75">
      <c r="A116" s="5">
        <v>3</v>
      </c>
      <c r="B116" s="120" t="s">
        <v>218</v>
      </c>
      <c r="C116" s="43" t="s">
        <v>710</v>
      </c>
      <c r="D116" s="43" t="s">
        <v>720</v>
      </c>
      <c r="E116" s="43" t="s">
        <v>721</v>
      </c>
      <c r="F116" s="43" t="s">
        <v>722</v>
      </c>
      <c r="G116" s="43" t="s">
        <v>723</v>
      </c>
      <c r="H116" s="43" t="s">
        <v>724</v>
      </c>
      <c r="I116" s="43" t="s">
        <v>714</v>
      </c>
      <c r="J116" s="43"/>
      <c r="K116" s="43"/>
      <c r="L116" s="43" t="s">
        <v>382</v>
      </c>
      <c r="M116" s="43"/>
      <c r="N116" s="43"/>
      <c r="O116" s="43"/>
      <c r="P116" s="43"/>
      <c r="Q116" s="43">
        <v>10</v>
      </c>
      <c r="R116" s="60">
        <v>9</v>
      </c>
      <c r="S116" s="5">
        <v>525.8</v>
      </c>
      <c r="T116" s="5"/>
      <c r="U116" s="5">
        <v>525.8</v>
      </c>
      <c r="V116" s="5">
        <v>422</v>
      </c>
      <c r="W116" s="5"/>
      <c r="X116" s="5">
        <v>422</v>
      </c>
      <c r="Y116" s="53"/>
      <c r="Z116" s="53" t="s">
        <v>241</v>
      </c>
      <c r="AA116" s="53"/>
      <c r="AB116" s="53"/>
      <c r="AC116" s="53"/>
      <c r="AD116" s="56"/>
      <c r="AE116" s="5"/>
      <c r="AF116" s="5"/>
      <c r="AG116" s="5"/>
      <c r="AH116" s="5"/>
    </row>
    <row r="117" spans="1:34" s="59" customFormat="1" ht="39.75">
      <c r="A117" s="5">
        <v>4</v>
      </c>
      <c r="B117" s="120" t="s">
        <v>218</v>
      </c>
      <c r="C117" s="43" t="s">
        <v>725</v>
      </c>
      <c r="D117" s="43" t="s">
        <v>726</v>
      </c>
      <c r="E117" s="43" t="s">
        <v>727</v>
      </c>
      <c r="F117" s="43" t="s">
        <v>728</v>
      </c>
      <c r="G117" s="43" t="s">
        <v>729</v>
      </c>
      <c r="H117" s="43" t="s">
        <v>726</v>
      </c>
      <c r="I117" s="43" t="s">
        <v>714</v>
      </c>
      <c r="J117" s="43"/>
      <c r="K117" s="43"/>
      <c r="L117" s="43" t="s">
        <v>730</v>
      </c>
      <c r="M117" s="43"/>
      <c r="N117" s="43"/>
      <c r="O117" s="43"/>
      <c r="P117" s="43"/>
      <c r="Q117" s="43">
        <v>15</v>
      </c>
      <c r="R117" s="60">
        <v>12</v>
      </c>
      <c r="S117" s="5">
        <v>2161</v>
      </c>
      <c r="T117" s="5">
        <v>800</v>
      </c>
      <c r="U117" s="5">
        <v>1361</v>
      </c>
      <c r="V117" s="5">
        <v>2000</v>
      </c>
      <c r="W117" s="5">
        <v>700</v>
      </c>
      <c r="X117" s="5">
        <v>1300</v>
      </c>
      <c r="Y117" s="53"/>
      <c r="Z117" s="53" t="s">
        <v>241</v>
      </c>
      <c r="AA117" s="53"/>
      <c r="AB117" s="53" t="s">
        <v>229</v>
      </c>
      <c r="AC117" s="53">
        <v>900</v>
      </c>
      <c r="AD117" s="56"/>
      <c r="AE117" s="5" t="s">
        <v>229</v>
      </c>
      <c r="AF117" s="5" t="s">
        <v>229</v>
      </c>
      <c r="AG117" s="5"/>
      <c r="AH117" s="5"/>
    </row>
    <row r="118" spans="1:34" s="59" customFormat="1" ht="39.75">
      <c r="A118" s="5">
        <v>5</v>
      </c>
      <c r="B118" s="120" t="s">
        <v>218</v>
      </c>
      <c r="C118" s="43" t="s">
        <v>731</v>
      </c>
      <c r="D118" s="43" t="s">
        <v>732</v>
      </c>
      <c r="E118" s="43" t="s">
        <v>727</v>
      </c>
      <c r="F118" s="43" t="s">
        <v>728</v>
      </c>
      <c r="G118" s="43" t="s">
        <v>729</v>
      </c>
      <c r="H118" s="43" t="s">
        <v>732</v>
      </c>
      <c r="I118" s="43" t="s">
        <v>714</v>
      </c>
      <c r="J118" s="43"/>
      <c r="K118" s="43"/>
      <c r="L118" s="43" t="s">
        <v>382</v>
      </c>
      <c r="M118" s="43"/>
      <c r="N118" s="43"/>
      <c r="O118" s="43"/>
      <c r="P118" s="43"/>
      <c r="Q118" s="43">
        <v>5</v>
      </c>
      <c r="R118" s="60">
        <v>4</v>
      </c>
      <c r="S118" s="5">
        <v>432.36</v>
      </c>
      <c r="T118" s="5"/>
      <c r="U118" s="5">
        <v>432.36</v>
      </c>
      <c r="V118" s="5">
        <v>320</v>
      </c>
      <c r="W118" s="5"/>
      <c r="X118" s="5">
        <v>320</v>
      </c>
      <c r="Y118" s="53"/>
      <c r="Z118" s="53" t="s">
        <v>241</v>
      </c>
      <c r="AA118" s="53"/>
      <c r="AB118" s="53"/>
      <c r="AC118" s="53"/>
      <c r="AD118" s="56"/>
      <c r="AE118" s="5" t="s">
        <v>229</v>
      </c>
      <c r="AF118" s="5" t="s">
        <v>229</v>
      </c>
      <c r="AG118" s="5"/>
      <c r="AH118" s="5"/>
    </row>
    <row r="119" spans="1:34" s="59" customFormat="1" ht="52.5">
      <c r="A119" s="5">
        <v>6</v>
      </c>
      <c r="B119" s="120" t="s">
        <v>218</v>
      </c>
      <c r="C119" s="43" t="s">
        <v>733</v>
      </c>
      <c r="D119" s="43" t="s">
        <v>734</v>
      </c>
      <c r="E119" s="43" t="s">
        <v>222</v>
      </c>
      <c r="F119" s="43" t="s">
        <v>222</v>
      </c>
      <c r="G119" s="43" t="s">
        <v>735</v>
      </c>
      <c r="H119" s="43" t="s">
        <v>518</v>
      </c>
      <c r="I119" s="43" t="s">
        <v>714</v>
      </c>
      <c r="J119" s="43"/>
      <c r="K119" s="43"/>
      <c r="L119" s="43" t="s">
        <v>736</v>
      </c>
      <c r="M119" s="43"/>
      <c r="N119" s="43"/>
      <c r="O119" s="43"/>
      <c r="P119" s="43" t="s">
        <v>229</v>
      </c>
      <c r="Q119" s="43">
        <v>2</v>
      </c>
      <c r="R119" s="60">
        <v>2</v>
      </c>
      <c r="S119" s="5">
        <v>485</v>
      </c>
      <c r="T119" s="5"/>
      <c r="U119" s="5">
        <v>485</v>
      </c>
      <c r="V119" s="5">
        <v>182</v>
      </c>
      <c r="W119" s="5"/>
      <c r="X119" s="5">
        <v>182</v>
      </c>
      <c r="Y119" s="53" t="s">
        <v>230</v>
      </c>
      <c r="Z119" s="53" t="s">
        <v>241</v>
      </c>
      <c r="AA119" s="53" t="s">
        <v>229</v>
      </c>
      <c r="AB119" s="53"/>
      <c r="AC119" s="53"/>
      <c r="AD119" s="56"/>
      <c r="AE119" s="5" t="s">
        <v>229</v>
      </c>
      <c r="AF119" s="5"/>
      <c r="AG119" s="5"/>
      <c r="AH119" s="5"/>
    </row>
    <row r="120" spans="1:34" s="59" customFormat="1" ht="18.75">
      <c r="A120" s="5"/>
      <c r="B120" s="5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60"/>
      <c r="S120" s="5"/>
      <c r="T120" s="5"/>
      <c r="U120" s="5"/>
      <c r="V120" s="5"/>
      <c r="W120" s="5"/>
      <c r="X120" s="5"/>
      <c r="Y120" s="53"/>
      <c r="Z120" s="53"/>
      <c r="AA120" s="53"/>
      <c r="AB120" s="53"/>
      <c r="AC120" s="53"/>
      <c r="AD120" s="56"/>
      <c r="AE120" s="5"/>
      <c r="AF120" s="5"/>
      <c r="AG120" s="5"/>
      <c r="AH120" s="5"/>
    </row>
    <row r="121" spans="1:34" s="50" customFormat="1" ht="63" customHeight="1" thickBot="1">
      <c r="A121" s="23"/>
      <c r="B121" s="23"/>
      <c r="C121" s="23" t="s">
        <v>28</v>
      </c>
      <c r="D121" s="24" t="s">
        <v>27</v>
      </c>
      <c r="E121" s="61"/>
      <c r="F121" s="39"/>
      <c r="G121" s="62">
        <f>COUNTIF(C114:C120,"*")</f>
        <v>6</v>
      </c>
      <c r="H121" s="62"/>
      <c r="I121" s="62"/>
      <c r="J121" s="64" t="str">
        <f>IF(SUM(J114:J120)&gt;0,SUM(J114:J120)," ")</f>
        <v> </v>
      </c>
      <c r="K121" s="62"/>
      <c r="L121" s="23"/>
      <c r="M121" s="23">
        <f>COUNTIF(M114:M120,"*")</f>
        <v>0</v>
      </c>
      <c r="N121" s="23">
        <f>COUNTIF(N114:N120,"*")</f>
        <v>0</v>
      </c>
      <c r="O121" s="23">
        <f>COUNTIF(O114:O120,"*")</f>
        <v>0</v>
      </c>
      <c r="P121" s="23">
        <f>COUNTIF(P114:P120,"*")</f>
        <v>2</v>
      </c>
      <c r="Q121" s="23">
        <f aca="true" t="shared" si="3" ref="Q121:X121">IF(SUM(Q114:Q120)&gt;0,SUM(Q114:Q120)," ")</f>
        <v>71</v>
      </c>
      <c r="R121" s="23">
        <f t="shared" si="3"/>
        <v>55</v>
      </c>
      <c r="S121" s="23">
        <f t="shared" si="3"/>
        <v>4420.5599999999995</v>
      </c>
      <c r="T121" s="23">
        <f t="shared" si="3"/>
        <v>800</v>
      </c>
      <c r="U121" s="23">
        <f t="shared" si="3"/>
        <v>3620.56</v>
      </c>
      <c r="V121" s="23">
        <f t="shared" si="3"/>
        <v>3618</v>
      </c>
      <c r="W121" s="23">
        <f t="shared" si="3"/>
        <v>700</v>
      </c>
      <c r="X121" s="23">
        <f t="shared" si="3"/>
        <v>2918</v>
      </c>
      <c r="Y121" s="63"/>
      <c r="Z121" s="63"/>
      <c r="AA121" s="23">
        <f>COUNTIF(AA114:AA120,"*")</f>
        <v>1</v>
      </c>
      <c r="AB121" s="23">
        <f>COUNTIF(AB114:AB120,"*")</f>
        <v>1</v>
      </c>
      <c r="AC121" s="23">
        <f>COUNTIF(AC114:AC120,"*")</f>
        <v>0</v>
      </c>
      <c r="AD121" s="24">
        <f>COUNTIF(AD114:AD120,"*")</f>
        <v>0</v>
      </c>
      <c r="AE121" s="23">
        <v>3</v>
      </c>
      <c r="AF121" s="23">
        <v>2</v>
      </c>
      <c r="AG121" s="23">
        <v>0</v>
      </c>
      <c r="AH121" s="23">
        <v>0</v>
      </c>
    </row>
    <row r="122" spans="1:34" s="21" customFormat="1" ht="27.75" thickBot="1">
      <c r="A122" s="16" t="s">
        <v>21</v>
      </c>
      <c r="B122" s="16"/>
      <c r="C122" s="17" t="s">
        <v>22</v>
      </c>
      <c r="D122" s="18"/>
      <c r="E122" s="18" t="s">
        <v>22</v>
      </c>
      <c r="F122" s="18"/>
      <c r="G122" s="18" t="s">
        <v>22</v>
      </c>
      <c r="H122" s="18"/>
      <c r="I122" s="18"/>
      <c r="J122" s="30" t="s">
        <v>80</v>
      </c>
      <c r="K122" s="31"/>
      <c r="L122" s="18" t="s">
        <v>22</v>
      </c>
      <c r="M122" s="18"/>
      <c r="N122" s="18"/>
      <c r="O122" s="18"/>
      <c r="P122" s="18"/>
      <c r="Q122" s="19"/>
      <c r="R122" s="19" t="s">
        <v>22</v>
      </c>
      <c r="S122" s="19"/>
      <c r="T122" s="19"/>
      <c r="U122" s="19"/>
      <c r="V122" s="19"/>
      <c r="W122" s="19" t="s">
        <v>22</v>
      </c>
      <c r="X122" s="19"/>
      <c r="Y122" s="25"/>
      <c r="Z122" s="25"/>
      <c r="AE122" s="22"/>
      <c r="AF122" s="22"/>
      <c r="AG122" s="22"/>
      <c r="AH122" s="22"/>
    </row>
    <row r="123" spans="1:34" s="59" customFormat="1" ht="18.75">
      <c r="A123" s="5"/>
      <c r="B123" s="5"/>
      <c r="C123" s="5"/>
      <c r="D123" s="5"/>
      <c r="E123" s="5"/>
      <c r="F123" s="5"/>
      <c r="G123" s="5"/>
      <c r="H123" s="5"/>
      <c r="I123" s="5"/>
      <c r="J123" s="43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3"/>
      <c r="Z123" s="53"/>
      <c r="AA123" s="53"/>
      <c r="AB123" s="53"/>
      <c r="AC123" s="53"/>
      <c r="AD123" s="56"/>
      <c r="AE123" s="5"/>
      <c r="AF123" s="5"/>
      <c r="AG123" s="5"/>
      <c r="AH123" s="5"/>
    </row>
    <row r="124" spans="1:34" s="59" customFormat="1" ht="18.75">
      <c r="A124" s="5"/>
      <c r="B124" s="5"/>
      <c r="C124" s="5"/>
      <c r="D124" s="5"/>
      <c r="E124" s="5"/>
      <c r="F124" s="5"/>
      <c r="G124" s="5"/>
      <c r="H124" s="5"/>
      <c r="I124" s="5"/>
      <c r="J124" s="43"/>
      <c r="K124" s="5"/>
      <c r="L124" s="5"/>
      <c r="M124" s="5"/>
      <c r="N124" s="5"/>
      <c r="O124" s="5"/>
      <c r="P124" s="5"/>
      <c r="Q124" s="5"/>
      <c r="R124" s="54"/>
      <c r="S124" s="5"/>
      <c r="T124" s="5"/>
      <c r="U124" s="5"/>
      <c r="V124" s="5"/>
      <c r="W124" s="5"/>
      <c r="X124" s="5"/>
      <c r="Y124" s="53"/>
      <c r="Z124" s="53"/>
      <c r="AA124" s="53"/>
      <c r="AB124" s="53"/>
      <c r="AC124" s="53"/>
      <c r="AD124" s="56"/>
      <c r="AE124" s="5"/>
      <c r="AF124" s="5"/>
      <c r="AG124" s="5"/>
      <c r="AH124" s="5"/>
    </row>
    <row r="125" spans="1:34" s="50" customFormat="1" ht="66.75" customHeight="1">
      <c r="A125" s="23"/>
      <c r="B125" s="23"/>
      <c r="C125" s="23" t="s">
        <v>29</v>
      </c>
      <c r="D125" s="24" t="s">
        <v>27</v>
      </c>
      <c r="E125" s="61"/>
      <c r="F125" s="39"/>
      <c r="G125" s="62">
        <f>COUNTIF(C123:C124,"*")</f>
        <v>0</v>
      </c>
      <c r="H125" s="62"/>
      <c r="I125" s="62"/>
      <c r="J125" s="62" t="str">
        <f>IF(SUM(J123:J124)&gt;0,SUM(J123:J124)," ")</f>
        <v> </v>
      </c>
      <c r="K125" s="62"/>
      <c r="L125" s="23"/>
      <c r="M125" s="23">
        <f>COUNTIF(M123:M124,"*")</f>
        <v>0</v>
      </c>
      <c r="N125" s="23">
        <f>COUNTIF(N123:N124,"*")</f>
        <v>0</v>
      </c>
      <c r="O125" s="23">
        <f>COUNTIF(O123:O124,"*")</f>
        <v>0</v>
      </c>
      <c r="P125" s="23">
        <f>COUNTIF(P123:P124,"*")</f>
        <v>0</v>
      </c>
      <c r="Q125" s="23" t="str">
        <f aca="true" t="shared" si="4" ref="Q125:X125">IF(SUM(Q123:Q124)&gt;0,SUM(Q123:Q124)," ")</f>
        <v> </v>
      </c>
      <c r="R125" s="24" t="str">
        <f t="shared" si="4"/>
        <v> </v>
      </c>
      <c r="S125" s="23" t="str">
        <f t="shared" si="4"/>
        <v> </v>
      </c>
      <c r="T125" s="23" t="str">
        <f t="shared" si="4"/>
        <v> </v>
      </c>
      <c r="U125" s="23" t="str">
        <f t="shared" si="4"/>
        <v> </v>
      </c>
      <c r="V125" s="23" t="str">
        <f t="shared" si="4"/>
        <v> </v>
      </c>
      <c r="W125" s="23" t="str">
        <f t="shared" si="4"/>
        <v> </v>
      </c>
      <c r="X125" s="23" t="str">
        <f t="shared" si="4"/>
        <v> </v>
      </c>
      <c r="Y125" s="63"/>
      <c r="Z125" s="63"/>
      <c r="AA125" s="23">
        <f>COUNTIF(AA123:AA124,"*")</f>
        <v>0</v>
      </c>
      <c r="AB125" s="23">
        <f>COUNTIF(AB123:AB124,"*")</f>
        <v>0</v>
      </c>
      <c r="AC125" s="23">
        <f>COUNTIF(AC123:AC124,"*")</f>
        <v>0</v>
      </c>
      <c r="AD125" s="24">
        <f>COUNTIF(AD123:AD124,"*")</f>
        <v>0</v>
      </c>
      <c r="AE125" s="23">
        <v>0</v>
      </c>
      <c r="AF125" s="23">
        <v>0</v>
      </c>
      <c r="AG125" s="23">
        <v>0</v>
      </c>
      <c r="AH125" s="23">
        <v>0</v>
      </c>
    </row>
    <row r="126" spans="1:34" s="156" customFormat="1" ht="45" customHeight="1">
      <c r="A126" s="68"/>
      <c r="B126" s="68"/>
      <c r="C126" s="68" t="s">
        <v>23</v>
      </c>
      <c r="D126" s="173" t="s">
        <v>27</v>
      </c>
      <c r="E126" s="174"/>
      <c r="F126" s="175"/>
      <c r="G126" s="154">
        <f>Лист3!B7</f>
        <v>101</v>
      </c>
      <c r="H126" s="154"/>
      <c r="I126" s="154"/>
      <c r="J126" s="154"/>
      <c r="K126" s="154"/>
      <c r="L126" s="68"/>
      <c r="M126" s="68">
        <f>Лист3!C7</f>
        <v>8</v>
      </c>
      <c r="N126" s="68">
        <f>Лист3!D7</f>
        <v>2</v>
      </c>
      <c r="O126" s="68">
        <f>Лист3!E7</f>
        <v>54</v>
      </c>
      <c r="P126" s="68">
        <f>Лист3!F7</f>
        <v>38</v>
      </c>
      <c r="Q126" s="68">
        <f>Лист3!G7</f>
        <v>386</v>
      </c>
      <c r="R126" s="155">
        <f>Лист3!H7</f>
        <v>311</v>
      </c>
      <c r="S126" s="68">
        <f>Лист3!I7</f>
        <v>15362.83</v>
      </c>
      <c r="T126" s="68">
        <f>Лист3!J7</f>
        <v>6790.070000000001</v>
      </c>
      <c r="U126" s="68">
        <f>Лист3!K7</f>
        <v>8238.26</v>
      </c>
      <c r="V126" s="68">
        <f>Лист3!L7</f>
        <v>10053.35</v>
      </c>
      <c r="W126" s="68">
        <f>Лист3!M7</f>
        <v>4385.450000000001</v>
      </c>
      <c r="X126" s="68">
        <f>Лист3!N7</f>
        <v>5667.9</v>
      </c>
      <c r="Y126" s="68"/>
      <c r="Z126" s="68"/>
      <c r="AA126" s="68">
        <f>Лист3!O7</f>
        <v>27</v>
      </c>
      <c r="AB126" s="68">
        <f>Лист3!P7</f>
        <v>4</v>
      </c>
      <c r="AC126" s="68">
        <f>(AC125+AC121+AC112+AC65+AC30)</f>
        <v>1449</v>
      </c>
      <c r="AD126" s="155">
        <f>(AD125+AD121+AD112+AD65+AD30)</f>
        <v>509</v>
      </c>
      <c r="AE126" s="68">
        <v>0</v>
      </c>
      <c r="AF126" s="68">
        <v>0</v>
      </c>
      <c r="AG126" s="68">
        <v>0</v>
      </c>
      <c r="AH126" s="68"/>
    </row>
  </sheetData>
  <sheetProtection formatCells="0" formatColumns="0" formatRows="0" insertRows="0" deleteRows="0" autoFilter="0"/>
  <mergeCells count="40">
    <mergeCell ref="I6:I9"/>
    <mergeCell ref="C6:C9"/>
    <mergeCell ref="D6:D9"/>
    <mergeCell ref="S8:S9"/>
    <mergeCell ref="V8:V9"/>
    <mergeCell ref="T8:U8"/>
    <mergeCell ref="Q7:Q9"/>
    <mergeCell ref="V7:X7"/>
    <mergeCell ref="F6:F9"/>
    <mergeCell ref="G6:G9"/>
    <mergeCell ref="B6:B9"/>
    <mergeCell ref="A6:A9"/>
    <mergeCell ref="X11:Y11"/>
    <mergeCell ref="M6:M9"/>
    <mergeCell ref="P7:P9"/>
    <mergeCell ref="W8:X8"/>
    <mergeCell ref="S7:U7"/>
    <mergeCell ref="O7:O9"/>
    <mergeCell ref="E6:E9"/>
    <mergeCell ref="H6:H9"/>
    <mergeCell ref="Z6:Z9"/>
    <mergeCell ref="U1:AB1"/>
    <mergeCell ref="Y6:Y9"/>
    <mergeCell ref="B2:X2"/>
    <mergeCell ref="L6:L9"/>
    <mergeCell ref="K6:K9"/>
    <mergeCell ref="O6:P6"/>
    <mergeCell ref="R7:R9"/>
    <mergeCell ref="J6:J9"/>
    <mergeCell ref="N6:N9"/>
    <mergeCell ref="AC6:AD8"/>
    <mergeCell ref="F3:N3"/>
    <mergeCell ref="D126:F126"/>
    <mergeCell ref="Q6:R6"/>
    <mergeCell ref="S6:X6"/>
    <mergeCell ref="AE6:AH8"/>
    <mergeCell ref="B5:X5"/>
    <mergeCell ref="B4:X4"/>
    <mergeCell ref="AA6:AA9"/>
    <mergeCell ref="AB6:AB9"/>
  </mergeCells>
  <printOptions/>
  <pageMargins left="0.4724409448818898" right="0.5905511811023623" top="0.7480314960629921" bottom="0.7480314960629921" header="0.31496062992125984" footer="0.31496062992125984"/>
  <pageSetup fitToHeight="0" fitToWidth="1" horizontalDpi="600" verticalDpi="600" orientation="landscape" paperSize="9" scale="33" r:id="rId3"/>
  <colBreaks count="1" manualBreakCount="1">
    <brk id="24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169"/>
  <sheetViews>
    <sheetView view="pageBreakPreview" zoomScale="90" zoomScaleSheetLayoutView="90" zoomScalePageLayoutView="0" workbookViewId="0" topLeftCell="A1">
      <pane xSplit="2" ySplit="9" topLeftCell="C6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58" sqref="C58"/>
    </sheetView>
  </sheetViews>
  <sheetFormatPr defaultColWidth="9.140625" defaultRowHeight="15"/>
  <cols>
    <col min="1" max="1" width="5.00390625" style="1" customWidth="1"/>
    <col min="2" max="2" width="20.7109375" style="1" customWidth="1"/>
    <col min="3" max="3" width="15.7109375" style="1" customWidth="1"/>
    <col min="4" max="4" width="13.421875" style="1" customWidth="1"/>
    <col min="5" max="5" width="13.8515625" style="1" customWidth="1"/>
    <col min="6" max="6" width="14.28125" style="1" customWidth="1"/>
    <col min="7" max="7" width="13.28125" style="1" customWidth="1"/>
    <col min="8" max="8" width="7.57421875" style="1" customWidth="1"/>
    <col min="9" max="9" width="4.421875" style="1" customWidth="1"/>
    <col min="10" max="10" width="8.140625" style="1" customWidth="1"/>
    <col min="11" max="11" width="12.8515625" style="1" customWidth="1"/>
    <col min="12" max="12" width="8.00390625" style="1" customWidth="1"/>
    <col min="13" max="13" width="10.140625" style="1" customWidth="1"/>
    <col min="14" max="14" width="9.140625" style="1" customWidth="1"/>
    <col min="15" max="16" width="8.7109375" style="1" customWidth="1"/>
    <col min="17" max="18" width="9.140625" style="1" customWidth="1"/>
    <col min="19" max="19" width="10.421875" style="1" customWidth="1"/>
    <col min="20" max="20" width="13.7109375" style="1" customWidth="1"/>
    <col min="21" max="21" width="12.421875" style="1" customWidth="1"/>
    <col min="22" max="22" width="11.8515625" style="1" customWidth="1"/>
    <col min="23" max="23" width="11.7109375" style="1" customWidth="1"/>
    <col min="24" max="24" width="14.00390625" style="1" customWidth="1"/>
    <col min="25" max="16384" width="9.140625" style="1" customWidth="1"/>
  </cols>
  <sheetData>
    <row r="1" spans="2:20" ht="18" customHeight="1">
      <c r="B1" s="214" t="s">
        <v>207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2:17" ht="18" customHeight="1">
      <c r="B2" s="100"/>
      <c r="C2" s="127"/>
      <c r="D2" s="127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107"/>
      <c r="P2" s="107"/>
      <c r="Q2" s="107"/>
    </row>
    <row r="3" spans="1:23" ht="23.25" customHeight="1">
      <c r="A3" s="181" t="s">
        <v>206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</row>
    <row r="4" spans="1:24" ht="18.75" customHeight="1">
      <c r="A4" s="180" t="s">
        <v>215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81"/>
      <c r="V4" s="81"/>
      <c r="W4" s="81"/>
      <c r="X4" s="81"/>
    </row>
    <row r="5" spans="1:24" s="21" customFormat="1" ht="73.5" customHeight="1">
      <c r="A5" s="200" t="s">
        <v>1</v>
      </c>
      <c r="B5" s="216" t="s">
        <v>190</v>
      </c>
      <c r="C5" s="200" t="s">
        <v>85</v>
      </c>
      <c r="D5" s="200" t="s">
        <v>81</v>
      </c>
      <c r="E5" s="200" t="s">
        <v>178</v>
      </c>
      <c r="F5" s="200" t="s">
        <v>179</v>
      </c>
      <c r="G5" s="200" t="s">
        <v>71</v>
      </c>
      <c r="H5" s="200" t="s">
        <v>2</v>
      </c>
      <c r="I5" s="209" t="s">
        <v>82</v>
      </c>
      <c r="J5" s="209" t="s">
        <v>180</v>
      </c>
      <c r="K5" s="200" t="s">
        <v>177</v>
      </c>
      <c r="L5" s="212" t="s">
        <v>4</v>
      </c>
      <c r="M5" s="212"/>
      <c r="N5" s="205" t="s">
        <v>181</v>
      </c>
      <c r="O5" s="205" t="s">
        <v>182</v>
      </c>
      <c r="P5" s="205"/>
      <c r="Q5" s="205"/>
      <c r="R5" s="205"/>
      <c r="S5" s="205"/>
      <c r="T5" s="166" t="s">
        <v>199</v>
      </c>
      <c r="U5" s="167"/>
      <c r="V5" s="166" t="s">
        <v>209</v>
      </c>
      <c r="W5" s="178"/>
      <c r="X5" s="167"/>
    </row>
    <row r="6" spans="1:24" s="21" customFormat="1" ht="39" customHeight="1">
      <c r="A6" s="201"/>
      <c r="B6" s="183"/>
      <c r="C6" s="201"/>
      <c r="D6" s="201"/>
      <c r="E6" s="201"/>
      <c r="F6" s="201"/>
      <c r="G6" s="201"/>
      <c r="H6" s="201"/>
      <c r="I6" s="210"/>
      <c r="J6" s="210"/>
      <c r="K6" s="201"/>
      <c r="L6" s="213" t="s">
        <v>5</v>
      </c>
      <c r="M6" s="213" t="s">
        <v>6</v>
      </c>
      <c r="N6" s="205"/>
      <c r="O6" s="206" t="s">
        <v>83</v>
      </c>
      <c r="P6" s="166" t="s">
        <v>84</v>
      </c>
      <c r="Q6" s="167"/>
      <c r="R6" s="205" t="s">
        <v>86</v>
      </c>
      <c r="S6" s="205"/>
      <c r="T6" s="168"/>
      <c r="U6" s="169"/>
      <c r="V6" s="168"/>
      <c r="W6" s="179"/>
      <c r="X6" s="169"/>
    </row>
    <row r="7" spans="1:24" s="21" customFormat="1" ht="38.25" customHeight="1">
      <c r="A7" s="201"/>
      <c r="B7" s="183"/>
      <c r="C7" s="201"/>
      <c r="D7" s="201"/>
      <c r="E7" s="201"/>
      <c r="F7" s="201"/>
      <c r="G7" s="201"/>
      <c r="H7" s="201"/>
      <c r="I7" s="210"/>
      <c r="J7" s="210"/>
      <c r="K7" s="201"/>
      <c r="L7" s="213"/>
      <c r="M7" s="213"/>
      <c r="N7" s="205"/>
      <c r="O7" s="207"/>
      <c r="P7" s="170"/>
      <c r="Q7" s="171"/>
      <c r="R7" s="205"/>
      <c r="S7" s="205"/>
      <c r="T7" s="170"/>
      <c r="U7" s="171"/>
      <c r="V7" s="170"/>
      <c r="W7" s="176"/>
      <c r="X7" s="171"/>
    </row>
    <row r="8" spans="1:24" s="21" customFormat="1" ht="68.25" customHeight="1">
      <c r="A8" s="202"/>
      <c r="B8" s="177"/>
      <c r="C8" s="202"/>
      <c r="D8" s="202"/>
      <c r="E8" s="202"/>
      <c r="F8" s="202"/>
      <c r="G8" s="202"/>
      <c r="H8" s="202"/>
      <c r="I8" s="211"/>
      <c r="J8" s="211"/>
      <c r="K8" s="202"/>
      <c r="L8" s="213"/>
      <c r="M8" s="213"/>
      <c r="N8" s="206"/>
      <c r="O8" s="208"/>
      <c r="P8" s="90" t="s">
        <v>87</v>
      </c>
      <c r="Q8" s="90" t="s">
        <v>88</v>
      </c>
      <c r="R8" s="90" t="s">
        <v>87</v>
      </c>
      <c r="S8" s="91" t="s">
        <v>88</v>
      </c>
      <c r="T8" s="98" t="s">
        <v>200</v>
      </c>
      <c r="U8" s="98" t="s">
        <v>201</v>
      </c>
      <c r="V8" s="110" t="s">
        <v>202</v>
      </c>
      <c r="W8" s="114" t="s">
        <v>204</v>
      </c>
      <c r="X8" s="110" t="s">
        <v>205</v>
      </c>
    </row>
    <row r="9" spans="1:25" s="26" customFormat="1" ht="18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104">
        <v>18</v>
      </c>
      <c r="S9" s="104">
        <v>19</v>
      </c>
      <c r="T9" s="49">
        <v>20</v>
      </c>
      <c r="U9" s="49">
        <v>21</v>
      </c>
      <c r="V9" s="105">
        <v>22</v>
      </c>
      <c r="W9" s="105">
        <v>23</v>
      </c>
      <c r="X9" s="49">
        <v>24</v>
      </c>
      <c r="Y9" s="103"/>
    </row>
    <row r="10" spans="1:24" s="21" customFormat="1" ht="30" customHeight="1">
      <c r="A10" s="92"/>
      <c r="B10" s="92"/>
      <c r="C10" s="88" t="s">
        <v>89</v>
      </c>
      <c r="D10" s="88"/>
      <c r="E10" s="88"/>
      <c r="F10" s="19"/>
      <c r="G10" s="19" t="s">
        <v>89</v>
      </c>
      <c r="H10" s="19"/>
      <c r="I10" s="19"/>
      <c r="J10" s="19"/>
      <c r="K10" s="19"/>
      <c r="L10" s="19" t="s">
        <v>89</v>
      </c>
      <c r="M10" s="19"/>
      <c r="N10" s="19"/>
      <c r="O10" s="19"/>
      <c r="P10" s="19" t="s">
        <v>89</v>
      </c>
      <c r="Q10" s="19"/>
      <c r="R10" s="19"/>
      <c r="S10" s="19"/>
      <c r="T10" s="25"/>
      <c r="U10" s="25"/>
      <c r="V10" s="25"/>
      <c r="W10" s="25"/>
      <c r="X10" s="126"/>
    </row>
    <row r="11" spans="1:24" s="59" customFormat="1" ht="103.5">
      <c r="A11" s="5">
        <v>1</v>
      </c>
      <c r="B11" s="5" t="s">
        <v>218</v>
      </c>
      <c r="C11" s="5" t="s">
        <v>737</v>
      </c>
      <c r="D11" s="5" t="s">
        <v>243</v>
      </c>
      <c r="E11" s="5" t="s">
        <v>738</v>
      </c>
      <c r="F11" s="5" t="s">
        <v>738</v>
      </c>
      <c r="G11" s="5" t="s">
        <v>739</v>
      </c>
      <c r="H11" s="5" t="s">
        <v>740</v>
      </c>
      <c r="I11" s="5"/>
      <c r="J11" s="5"/>
      <c r="K11" s="5">
        <v>1</v>
      </c>
      <c r="L11" s="5">
        <v>6</v>
      </c>
      <c r="M11" s="5">
        <v>6</v>
      </c>
      <c r="N11" s="53" t="s">
        <v>230</v>
      </c>
      <c r="O11" s="53" t="s">
        <v>229</v>
      </c>
      <c r="P11" s="56"/>
      <c r="Q11" s="53"/>
      <c r="R11" s="53"/>
      <c r="S11" s="53"/>
      <c r="T11" s="53"/>
      <c r="U11" s="53"/>
      <c r="V11" s="53"/>
      <c r="W11" s="53"/>
      <c r="X11" s="53"/>
    </row>
    <row r="12" spans="1:24" s="59" customFormat="1" ht="103.5">
      <c r="A12" s="5">
        <v>2</v>
      </c>
      <c r="B12" s="5" t="s">
        <v>218</v>
      </c>
      <c r="C12" s="44" t="s">
        <v>741</v>
      </c>
      <c r="D12" s="44" t="s">
        <v>243</v>
      </c>
      <c r="E12" s="44" t="s">
        <v>742</v>
      </c>
      <c r="F12" s="5" t="s">
        <v>743</v>
      </c>
      <c r="G12" s="5" t="s">
        <v>744</v>
      </c>
      <c r="H12" s="5" t="s">
        <v>745</v>
      </c>
      <c r="I12" s="5"/>
      <c r="J12" s="5" t="s">
        <v>229</v>
      </c>
      <c r="K12" s="5">
        <v>2</v>
      </c>
      <c r="L12" s="5">
        <v>15</v>
      </c>
      <c r="M12" s="54">
        <v>15</v>
      </c>
      <c r="N12" s="53"/>
      <c r="O12" s="53" t="s">
        <v>229</v>
      </c>
      <c r="P12" s="56"/>
      <c r="Q12" s="53"/>
      <c r="R12" s="53"/>
      <c r="S12" s="53"/>
      <c r="T12" s="53"/>
      <c r="U12" s="53"/>
      <c r="V12" s="53"/>
      <c r="W12" s="53"/>
      <c r="X12" s="53"/>
    </row>
    <row r="13" spans="1:24" s="59" customFormat="1" ht="18.75">
      <c r="A13" s="5"/>
      <c r="B13" s="5"/>
      <c r="C13" s="44"/>
      <c r="D13" s="44"/>
      <c r="E13" s="44"/>
      <c r="F13" s="5"/>
      <c r="G13" s="5"/>
      <c r="H13" s="5"/>
      <c r="I13" s="5"/>
      <c r="J13" s="5"/>
      <c r="K13" s="5"/>
      <c r="L13" s="5"/>
      <c r="M13" s="54"/>
      <c r="N13" s="53"/>
      <c r="O13" s="53"/>
      <c r="P13" s="56"/>
      <c r="Q13" s="53"/>
      <c r="R13" s="53"/>
      <c r="S13" s="53"/>
      <c r="T13" s="53"/>
      <c r="U13" s="53"/>
      <c r="V13" s="53"/>
      <c r="W13" s="53"/>
      <c r="X13" s="53"/>
    </row>
    <row r="14" spans="1:24" s="50" customFormat="1" ht="39.75">
      <c r="A14" s="23"/>
      <c r="B14" s="39"/>
      <c r="C14" s="23" t="s">
        <v>98</v>
      </c>
      <c r="D14" s="217" t="s">
        <v>27</v>
      </c>
      <c r="E14" s="218"/>
      <c r="F14" s="39">
        <f>COUNTIF(C11:C13,"*")</f>
        <v>2</v>
      </c>
      <c r="G14" s="23"/>
      <c r="H14" s="23"/>
      <c r="I14" s="23">
        <f>COUNTIF(I11:I13,"*")</f>
        <v>0</v>
      </c>
      <c r="J14" s="23">
        <f>COUNTIF(J11:J13,"*")</f>
        <v>1</v>
      </c>
      <c r="K14" s="23">
        <f>SUM(K11:K13)</f>
        <v>3</v>
      </c>
      <c r="L14" s="23">
        <f>SUM(L11:L13)</f>
        <v>21</v>
      </c>
      <c r="M14" s="23">
        <f>SUM(M11:M13)</f>
        <v>21</v>
      </c>
      <c r="N14" s="63"/>
      <c r="O14" s="23">
        <f aca="true" t="shared" si="0" ref="O14:U14">COUNTIF(O11:O13,"*")</f>
        <v>2</v>
      </c>
      <c r="P14" s="24">
        <f t="shared" si="0"/>
        <v>0</v>
      </c>
      <c r="Q14" s="23">
        <f t="shared" si="0"/>
        <v>0</v>
      </c>
      <c r="R14" s="128">
        <f t="shared" si="0"/>
        <v>0</v>
      </c>
      <c r="S14" s="128">
        <f t="shared" si="0"/>
        <v>0</v>
      </c>
      <c r="T14" s="129">
        <f t="shared" si="0"/>
        <v>0</v>
      </c>
      <c r="U14" s="129">
        <f t="shared" si="0"/>
        <v>0</v>
      </c>
      <c r="V14" s="129">
        <v>0</v>
      </c>
      <c r="W14" s="129">
        <v>0</v>
      </c>
      <c r="X14" s="129">
        <v>0</v>
      </c>
    </row>
    <row r="15" spans="1:24" s="21" customFormat="1" ht="23.25" customHeight="1">
      <c r="A15" s="22"/>
      <c r="B15" s="33"/>
      <c r="C15" s="19" t="s">
        <v>90</v>
      </c>
      <c r="D15" s="19"/>
      <c r="E15" s="19" t="s">
        <v>90</v>
      </c>
      <c r="F15" s="19"/>
      <c r="G15" s="19"/>
      <c r="H15" s="19" t="s">
        <v>90</v>
      </c>
      <c r="I15" s="19"/>
      <c r="J15" s="19"/>
      <c r="K15" s="19"/>
      <c r="L15" s="19" t="s">
        <v>90</v>
      </c>
      <c r="M15" s="19"/>
      <c r="N15" s="40"/>
      <c r="O15" s="40"/>
      <c r="P15" s="19" t="s">
        <v>90</v>
      </c>
      <c r="Q15" s="97"/>
      <c r="R15" s="42"/>
      <c r="S15" s="42"/>
      <c r="T15" s="130"/>
      <c r="U15" s="130"/>
      <c r="V15" s="130"/>
      <c r="W15" s="130"/>
      <c r="X15" s="103"/>
    </row>
    <row r="16" spans="1:24" s="59" customFormat="1" ht="103.5">
      <c r="A16" s="5">
        <v>1</v>
      </c>
      <c r="B16" s="120" t="s">
        <v>218</v>
      </c>
      <c r="C16" s="5" t="s">
        <v>746</v>
      </c>
      <c r="D16" s="5" t="s">
        <v>747</v>
      </c>
      <c r="E16" s="5" t="s">
        <v>748</v>
      </c>
      <c r="F16" s="5" t="s">
        <v>748</v>
      </c>
      <c r="G16" s="5" t="s">
        <v>749</v>
      </c>
      <c r="H16" s="5" t="s">
        <v>750</v>
      </c>
      <c r="I16" s="5"/>
      <c r="J16" s="5"/>
      <c r="K16" s="5"/>
      <c r="L16" s="5">
        <v>6</v>
      </c>
      <c r="M16" s="5">
        <v>6</v>
      </c>
      <c r="N16" s="53" t="s">
        <v>230</v>
      </c>
      <c r="O16" s="53" t="s">
        <v>229</v>
      </c>
      <c r="P16" s="56"/>
      <c r="Q16" s="53"/>
      <c r="R16" s="66"/>
      <c r="S16" s="66"/>
      <c r="T16" s="66"/>
      <c r="U16" s="66"/>
      <c r="V16" s="66"/>
      <c r="W16" s="66"/>
      <c r="X16" s="66"/>
    </row>
    <row r="17" spans="1:24" s="59" customFormat="1" ht="103.5">
      <c r="A17" s="5">
        <v>2</v>
      </c>
      <c r="B17" s="120" t="s">
        <v>218</v>
      </c>
      <c r="C17" s="5" t="s">
        <v>751</v>
      </c>
      <c r="D17" s="5" t="s">
        <v>370</v>
      </c>
      <c r="E17" s="5" t="s">
        <v>752</v>
      </c>
      <c r="F17" s="5" t="s">
        <v>752</v>
      </c>
      <c r="G17" s="5" t="s">
        <v>753</v>
      </c>
      <c r="H17" s="5" t="s">
        <v>750</v>
      </c>
      <c r="I17" s="5"/>
      <c r="J17" s="5"/>
      <c r="K17" s="5">
        <v>1</v>
      </c>
      <c r="L17" s="5">
        <v>6.5</v>
      </c>
      <c r="M17" s="54">
        <v>6.5</v>
      </c>
      <c r="N17" s="53" t="s">
        <v>230</v>
      </c>
      <c r="O17" s="53" t="s">
        <v>229</v>
      </c>
      <c r="P17" s="56"/>
      <c r="Q17" s="53"/>
      <c r="R17" s="66"/>
      <c r="S17" s="66"/>
      <c r="T17" s="66"/>
      <c r="U17" s="66"/>
      <c r="V17" s="66"/>
      <c r="W17" s="66"/>
      <c r="X17" s="66"/>
    </row>
    <row r="18" spans="1:24" s="59" customFormat="1" ht="103.5">
      <c r="A18" s="5">
        <v>3</v>
      </c>
      <c r="B18" s="120" t="s">
        <v>218</v>
      </c>
      <c r="C18" s="5" t="s">
        <v>754</v>
      </c>
      <c r="D18" s="5" t="s">
        <v>370</v>
      </c>
      <c r="E18" s="5" t="s">
        <v>755</v>
      </c>
      <c r="F18" s="5" t="s">
        <v>755</v>
      </c>
      <c r="G18" s="5" t="s">
        <v>756</v>
      </c>
      <c r="H18" s="5" t="s">
        <v>750</v>
      </c>
      <c r="I18" s="5"/>
      <c r="J18" s="5"/>
      <c r="K18" s="5">
        <v>1</v>
      </c>
      <c r="L18" s="5">
        <v>18</v>
      </c>
      <c r="M18" s="54">
        <v>18</v>
      </c>
      <c r="N18" s="53" t="s">
        <v>230</v>
      </c>
      <c r="O18" s="53" t="s">
        <v>229</v>
      </c>
      <c r="P18" s="56"/>
      <c r="Q18" s="53"/>
      <c r="R18" s="53"/>
      <c r="S18" s="53"/>
      <c r="T18" s="53"/>
      <c r="U18" s="53"/>
      <c r="V18" s="53"/>
      <c r="W18" s="53"/>
      <c r="X18" s="53"/>
    </row>
    <row r="19" spans="1:24" s="59" customFormat="1" ht="78">
      <c r="A19" s="5">
        <v>4</v>
      </c>
      <c r="B19" s="120" t="s">
        <v>616</v>
      </c>
      <c r="C19" s="5" t="s">
        <v>757</v>
      </c>
      <c r="D19" s="5" t="s">
        <v>758</v>
      </c>
      <c r="E19" s="5" t="s">
        <v>759</v>
      </c>
      <c r="F19" s="5" t="s">
        <v>759</v>
      </c>
      <c r="G19" s="5" t="s">
        <v>760</v>
      </c>
      <c r="H19" s="5" t="s">
        <v>318</v>
      </c>
      <c r="I19" s="5"/>
      <c r="J19" s="5"/>
      <c r="K19" s="5">
        <v>1</v>
      </c>
      <c r="L19" s="5">
        <v>18</v>
      </c>
      <c r="M19" s="54">
        <v>18</v>
      </c>
      <c r="N19" s="53" t="s">
        <v>230</v>
      </c>
      <c r="O19" s="53" t="s">
        <v>229</v>
      </c>
      <c r="P19" s="56"/>
      <c r="Q19" s="53"/>
      <c r="R19" s="53"/>
      <c r="S19" s="53"/>
      <c r="T19" s="53"/>
      <c r="U19" s="53">
        <v>100</v>
      </c>
      <c r="V19" s="53"/>
      <c r="W19" s="53"/>
      <c r="X19" s="53"/>
    </row>
    <row r="20" spans="1:24" s="50" customFormat="1" ht="39.75">
      <c r="A20" s="23"/>
      <c r="B20" s="39"/>
      <c r="C20" s="23" t="s">
        <v>99</v>
      </c>
      <c r="D20" s="217" t="s">
        <v>27</v>
      </c>
      <c r="E20" s="218"/>
      <c r="F20" s="23">
        <f>COUNTIF(C16:C19,"*")</f>
        <v>4</v>
      </c>
      <c r="G20" s="23"/>
      <c r="H20" s="23"/>
      <c r="I20" s="23">
        <f>COUNTIF(I16:I19,"*")</f>
        <v>0</v>
      </c>
      <c r="J20" s="23">
        <f>COUNTIF(J16:J19,"*")</f>
        <v>0</v>
      </c>
      <c r="K20" s="23">
        <f>SUM(K16:K19)</f>
        <v>3</v>
      </c>
      <c r="L20" s="23">
        <f>SUM(L16:L19)</f>
        <v>48.5</v>
      </c>
      <c r="M20" s="23">
        <f>SUM(M16:M19)</f>
        <v>48.5</v>
      </c>
      <c r="N20" s="63"/>
      <c r="O20" s="23">
        <f aca="true" t="shared" si="1" ref="O20:U20">COUNTIF(O16:O19,"*")</f>
        <v>4</v>
      </c>
      <c r="P20" s="131">
        <f t="shared" si="1"/>
        <v>0</v>
      </c>
      <c r="Q20" s="128">
        <f t="shared" si="1"/>
        <v>0</v>
      </c>
      <c r="R20" s="128">
        <f t="shared" si="1"/>
        <v>0</v>
      </c>
      <c r="S20" s="128">
        <f t="shared" si="1"/>
        <v>0</v>
      </c>
      <c r="T20" s="129">
        <f t="shared" si="1"/>
        <v>0</v>
      </c>
      <c r="U20" s="129">
        <f t="shared" si="1"/>
        <v>0</v>
      </c>
      <c r="V20" s="129">
        <v>0</v>
      </c>
      <c r="W20" s="129">
        <v>0</v>
      </c>
      <c r="X20" s="129">
        <v>0</v>
      </c>
    </row>
    <row r="21" spans="1:24" s="21" customFormat="1" ht="28.5" customHeight="1">
      <c r="A21" s="22"/>
      <c r="B21" s="33"/>
      <c r="C21" s="19" t="s">
        <v>96</v>
      </c>
      <c r="D21" s="19"/>
      <c r="E21" s="19" t="s">
        <v>91</v>
      </c>
      <c r="F21" s="19"/>
      <c r="G21" s="19"/>
      <c r="H21" s="19" t="s">
        <v>91</v>
      </c>
      <c r="I21" s="19"/>
      <c r="J21" s="19"/>
      <c r="K21" s="19"/>
      <c r="L21" s="19" t="s">
        <v>91</v>
      </c>
      <c r="M21" s="19"/>
      <c r="N21" s="40"/>
      <c r="O21" s="19" t="s">
        <v>91</v>
      </c>
      <c r="P21" s="42"/>
      <c r="Q21" s="42"/>
      <c r="R21" s="42"/>
      <c r="S21" s="42"/>
      <c r="T21" s="130"/>
      <c r="U21" s="130"/>
      <c r="V21" s="130"/>
      <c r="W21" s="130"/>
      <c r="X21" s="103"/>
    </row>
    <row r="22" spans="1:24" s="59" customFormat="1" ht="23.25" customHeight="1">
      <c r="A22" s="5"/>
      <c r="B22" s="12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3"/>
      <c r="O22" s="5"/>
      <c r="P22" s="96"/>
      <c r="Q22" s="66"/>
      <c r="R22" s="66"/>
      <c r="S22" s="66"/>
      <c r="T22" s="66"/>
      <c r="U22" s="66"/>
      <c r="V22" s="66"/>
      <c r="W22" s="66"/>
      <c r="X22" s="66"/>
    </row>
    <row r="23" spans="1:24" s="59" customFormat="1" ht="23.25" customHeight="1">
      <c r="A23" s="5"/>
      <c r="B23" s="12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3"/>
      <c r="O23" s="5"/>
      <c r="P23" s="56"/>
      <c r="Q23" s="53"/>
      <c r="R23" s="53"/>
      <c r="S23" s="53"/>
      <c r="T23" s="53"/>
      <c r="U23" s="53"/>
      <c r="V23" s="53"/>
      <c r="W23" s="53"/>
      <c r="X23" s="53"/>
    </row>
    <row r="24" spans="1:24" s="59" customFormat="1" ht="19.5" customHeight="1">
      <c r="A24" s="5"/>
      <c r="B24" s="12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3"/>
      <c r="O24" s="53"/>
      <c r="P24" s="56"/>
      <c r="Q24" s="53"/>
      <c r="R24" s="53"/>
      <c r="S24" s="53"/>
      <c r="T24" s="53"/>
      <c r="U24" s="53"/>
      <c r="V24" s="53"/>
      <c r="W24" s="53"/>
      <c r="X24" s="53"/>
    </row>
    <row r="25" spans="1:24" s="50" customFormat="1" ht="39.75">
      <c r="A25" s="23"/>
      <c r="B25" s="39"/>
      <c r="C25" s="23" t="s">
        <v>100</v>
      </c>
      <c r="D25" s="217" t="s">
        <v>27</v>
      </c>
      <c r="E25" s="218"/>
      <c r="F25" s="23">
        <f>COUNTIF(C22:C24,"*")</f>
        <v>0</v>
      </c>
      <c r="G25" s="23"/>
      <c r="H25" s="23"/>
      <c r="I25" s="23">
        <f>COUNTIF(I22:I24,"*")</f>
        <v>0</v>
      </c>
      <c r="J25" s="23">
        <f>COUNTIF(J22:J24,"*")</f>
        <v>0</v>
      </c>
      <c r="K25" s="23">
        <f>SUM(K22:K24)</f>
        <v>0</v>
      </c>
      <c r="L25" s="23">
        <f>SUM(L22:L24)</f>
        <v>0</v>
      </c>
      <c r="M25" s="23">
        <f>SUM(M22:M24)</f>
        <v>0</v>
      </c>
      <c r="N25" s="63"/>
      <c r="O25" s="23">
        <f aca="true" t="shared" si="2" ref="O25:U25">COUNTIF(O22:O24,"*")</f>
        <v>0</v>
      </c>
      <c r="P25" s="24">
        <f t="shared" si="2"/>
        <v>0</v>
      </c>
      <c r="Q25" s="23">
        <f t="shared" si="2"/>
        <v>0</v>
      </c>
      <c r="R25" s="23">
        <f t="shared" si="2"/>
        <v>0</v>
      </c>
      <c r="S25" s="23">
        <f t="shared" si="2"/>
        <v>0</v>
      </c>
      <c r="T25" s="63">
        <f t="shared" si="2"/>
        <v>0</v>
      </c>
      <c r="U25" s="63">
        <f t="shared" si="2"/>
        <v>0</v>
      </c>
      <c r="V25" s="63">
        <v>0</v>
      </c>
      <c r="W25" s="63">
        <v>0</v>
      </c>
      <c r="X25" s="63">
        <v>0</v>
      </c>
    </row>
    <row r="26" spans="1:24" s="50" customFormat="1" ht="50.25" customHeight="1">
      <c r="A26" s="68"/>
      <c r="B26" s="121"/>
      <c r="C26" s="41" t="s">
        <v>92</v>
      </c>
      <c r="D26" s="41"/>
      <c r="E26" s="41"/>
      <c r="F26" s="41">
        <f>Лист3!B16</f>
        <v>6</v>
      </c>
      <c r="G26" s="41"/>
      <c r="H26" s="41"/>
      <c r="I26" s="41">
        <f>Лист3!C16</f>
        <v>0</v>
      </c>
      <c r="J26" s="41">
        <f>Лист3!D16</f>
        <v>1</v>
      </c>
      <c r="K26" s="41">
        <f>Лист3!E16</f>
        <v>6</v>
      </c>
      <c r="L26" s="41">
        <f>Лист3!F16</f>
        <v>69.5</v>
      </c>
      <c r="M26" s="41">
        <f>Лист3!G16</f>
        <v>69.5</v>
      </c>
      <c r="N26" s="65"/>
      <c r="O26" s="65">
        <f>Лист3!H16</f>
        <v>6</v>
      </c>
      <c r="P26" s="106">
        <f>Лист3!I16</f>
        <v>0</v>
      </c>
      <c r="Q26" s="65">
        <f>Лист3!J16</f>
        <v>0</v>
      </c>
      <c r="R26" s="65">
        <f>Лист3!K16</f>
        <v>0</v>
      </c>
      <c r="S26" s="65">
        <f>Лист3!L16</f>
        <v>0</v>
      </c>
      <c r="T26" s="65">
        <f>(T25+T20+T14)</f>
        <v>0</v>
      </c>
      <c r="U26" s="65">
        <f>(U25+U20+U14)</f>
        <v>0</v>
      </c>
      <c r="V26" s="65">
        <f>(V25+V20+V14)</f>
        <v>0</v>
      </c>
      <c r="W26" s="65">
        <f>(W25+W20+W14)</f>
        <v>0</v>
      </c>
      <c r="X26" s="65">
        <v>0</v>
      </c>
    </row>
    <row r="27" spans="1:24" s="21" customFormat="1" ht="25.5" customHeight="1">
      <c r="A27" s="22"/>
      <c r="B27" s="29"/>
      <c r="C27" s="18" t="s">
        <v>93</v>
      </c>
      <c r="D27" s="18"/>
      <c r="E27" s="18"/>
      <c r="F27" s="18"/>
      <c r="G27" s="18"/>
      <c r="H27" s="18" t="s">
        <v>93</v>
      </c>
      <c r="I27" s="18"/>
      <c r="J27" s="18"/>
      <c r="K27" s="18"/>
      <c r="L27" s="18"/>
      <c r="M27" s="18" t="s">
        <v>93</v>
      </c>
      <c r="N27" s="42"/>
      <c r="O27" s="42"/>
      <c r="P27" s="42"/>
      <c r="Q27" s="42"/>
      <c r="R27" s="42"/>
      <c r="S27" s="42"/>
      <c r="T27" s="130"/>
      <c r="U27" s="130"/>
      <c r="V27" s="130"/>
      <c r="W27" s="130"/>
      <c r="X27" s="103"/>
    </row>
    <row r="28" spans="1:24" s="59" customFormat="1" ht="39.75">
      <c r="A28" s="5">
        <v>1</v>
      </c>
      <c r="B28" s="122" t="s">
        <v>218</v>
      </c>
      <c r="C28" s="43" t="s">
        <v>761</v>
      </c>
      <c r="D28" s="43" t="s">
        <v>762</v>
      </c>
      <c r="E28" s="43" t="s">
        <v>763</v>
      </c>
      <c r="F28" s="43" t="s">
        <v>764</v>
      </c>
      <c r="G28" s="43" t="s">
        <v>765</v>
      </c>
      <c r="H28" s="43" t="s">
        <v>560</v>
      </c>
      <c r="I28" s="43"/>
      <c r="J28" s="43"/>
      <c r="K28" s="43">
        <v>1</v>
      </c>
      <c r="L28" s="43">
        <v>46</v>
      </c>
      <c r="M28" s="60">
        <v>42</v>
      </c>
      <c r="N28" s="66" t="s">
        <v>230</v>
      </c>
      <c r="O28" s="66" t="s">
        <v>229</v>
      </c>
      <c r="P28" s="96"/>
      <c r="Q28" s="66"/>
      <c r="R28" s="66"/>
      <c r="S28" s="66"/>
      <c r="T28" s="66"/>
      <c r="U28" s="66"/>
      <c r="V28" s="66"/>
      <c r="W28" s="66"/>
      <c r="X28" s="66"/>
    </row>
    <row r="29" spans="1:24" s="59" customFormat="1" ht="103.5">
      <c r="A29" s="5">
        <v>2</v>
      </c>
      <c r="B29" s="122" t="s">
        <v>218</v>
      </c>
      <c r="C29" s="43" t="s">
        <v>766</v>
      </c>
      <c r="D29" s="43" t="s">
        <v>767</v>
      </c>
      <c r="E29" s="43" t="s">
        <v>768</v>
      </c>
      <c r="F29" s="43" t="s">
        <v>769</v>
      </c>
      <c r="G29" s="43" t="s">
        <v>770</v>
      </c>
      <c r="H29" s="43" t="s">
        <v>771</v>
      </c>
      <c r="I29" s="43"/>
      <c r="J29" s="43"/>
      <c r="K29" s="43">
        <v>2</v>
      </c>
      <c r="L29" s="43">
        <v>32</v>
      </c>
      <c r="M29" s="60">
        <v>30</v>
      </c>
      <c r="N29" s="66" t="s">
        <v>230</v>
      </c>
      <c r="O29" s="66" t="s">
        <v>229</v>
      </c>
      <c r="P29" s="96"/>
      <c r="Q29" s="66"/>
      <c r="R29" s="66"/>
      <c r="S29" s="66"/>
      <c r="T29" s="66"/>
      <c r="U29" s="66"/>
      <c r="V29" s="66"/>
      <c r="W29" s="66"/>
      <c r="X29" s="66"/>
    </row>
    <row r="30" spans="1:24" s="59" customFormat="1" ht="52.5">
      <c r="A30" s="5">
        <v>3</v>
      </c>
      <c r="B30" s="122" t="s">
        <v>218</v>
      </c>
      <c r="C30" s="43" t="s">
        <v>772</v>
      </c>
      <c r="D30" s="43" t="s">
        <v>243</v>
      </c>
      <c r="E30" s="43" t="s">
        <v>773</v>
      </c>
      <c r="F30" s="43" t="s">
        <v>773</v>
      </c>
      <c r="G30" s="43" t="s">
        <v>774</v>
      </c>
      <c r="H30" s="43" t="s">
        <v>775</v>
      </c>
      <c r="I30" s="43"/>
      <c r="J30" s="43" t="s">
        <v>229</v>
      </c>
      <c r="K30" s="43">
        <v>7</v>
      </c>
      <c r="L30" s="43">
        <v>50</v>
      </c>
      <c r="M30" s="60">
        <v>40</v>
      </c>
      <c r="N30" s="66" t="s">
        <v>230</v>
      </c>
      <c r="O30" s="66" t="s">
        <v>229</v>
      </c>
      <c r="P30" s="96"/>
      <c r="Q30" s="66"/>
      <c r="R30" s="66"/>
      <c r="S30" s="66"/>
      <c r="T30" s="66"/>
      <c r="U30" s="66"/>
      <c r="V30" s="66"/>
      <c r="W30" s="66"/>
      <c r="X30" s="66"/>
    </row>
    <row r="31" spans="1:24" s="59" customFormat="1" ht="116.25">
      <c r="A31" s="5">
        <v>4</v>
      </c>
      <c r="B31" s="122" t="s">
        <v>218</v>
      </c>
      <c r="C31" s="43" t="s">
        <v>776</v>
      </c>
      <c r="D31" s="43" t="s">
        <v>243</v>
      </c>
      <c r="E31" s="43" t="s">
        <v>777</v>
      </c>
      <c r="F31" s="43" t="s">
        <v>778</v>
      </c>
      <c r="G31" s="43" t="s">
        <v>765</v>
      </c>
      <c r="H31" s="43" t="s">
        <v>779</v>
      </c>
      <c r="I31" s="43"/>
      <c r="J31" s="43"/>
      <c r="K31" s="43">
        <v>1</v>
      </c>
      <c r="L31" s="43">
        <v>30</v>
      </c>
      <c r="M31" s="60">
        <v>9</v>
      </c>
      <c r="N31" s="66" t="s">
        <v>230</v>
      </c>
      <c r="O31" s="66" t="s">
        <v>229</v>
      </c>
      <c r="P31" s="96"/>
      <c r="Q31" s="66"/>
      <c r="R31" s="66"/>
      <c r="S31" s="66"/>
      <c r="T31" s="66"/>
      <c r="U31" s="66"/>
      <c r="V31" s="66"/>
      <c r="W31" s="66"/>
      <c r="X31" s="66"/>
    </row>
    <row r="32" spans="1:24" s="59" customFormat="1" ht="52.5">
      <c r="A32" s="5">
        <v>5</v>
      </c>
      <c r="B32" s="122" t="s">
        <v>218</v>
      </c>
      <c r="C32" s="43" t="s">
        <v>780</v>
      </c>
      <c r="D32" s="43" t="s">
        <v>781</v>
      </c>
      <c r="E32" s="43" t="s">
        <v>782</v>
      </c>
      <c r="F32" s="43" t="s">
        <v>783</v>
      </c>
      <c r="G32" s="43" t="s">
        <v>784</v>
      </c>
      <c r="H32" s="43" t="s">
        <v>318</v>
      </c>
      <c r="I32" s="43"/>
      <c r="J32" s="43"/>
      <c r="K32" s="43">
        <v>2</v>
      </c>
      <c r="L32" s="43">
        <v>50</v>
      </c>
      <c r="M32" s="60">
        <v>35</v>
      </c>
      <c r="N32" s="66" t="s">
        <v>230</v>
      </c>
      <c r="O32" s="66" t="s">
        <v>229</v>
      </c>
      <c r="P32" s="96"/>
      <c r="Q32" s="66"/>
      <c r="R32" s="66"/>
      <c r="S32" s="66"/>
      <c r="T32" s="66"/>
      <c r="U32" s="66"/>
      <c r="V32" s="66"/>
      <c r="W32" s="66"/>
      <c r="X32" s="66"/>
    </row>
    <row r="33" spans="1:24" s="59" customFormat="1" ht="52.5">
      <c r="A33" s="5">
        <v>6</v>
      </c>
      <c r="B33" s="122" t="s">
        <v>218</v>
      </c>
      <c r="C33" s="43" t="s">
        <v>785</v>
      </c>
      <c r="D33" s="43" t="s">
        <v>243</v>
      </c>
      <c r="E33" s="43" t="s">
        <v>786</v>
      </c>
      <c r="F33" s="43" t="s">
        <v>222</v>
      </c>
      <c r="G33" s="43" t="s">
        <v>787</v>
      </c>
      <c r="H33" s="43" t="s">
        <v>318</v>
      </c>
      <c r="I33" s="43"/>
      <c r="J33" s="43"/>
      <c r="K33" s="43">
        <v>2</v>
      </c>
      <c r="L33" s="43">
        <v>28</v>
      </c>
      <c r="M33" s="60">
        <v>28</v>
      </c>
      <c r="N33" s="66" t="s">
        <v>230</v>
      </c>
      <c r="O33" s="66" t="s">
        <v>229</v>
      </c>
      <c r="P33" s="96"/>
      <c r="Q33" s="53"/>
      <c r="R33" s="53"/>
      <c r="S33" s="53"/>
      <c r="T33" s="53"/>
      <c r="U33" s="53"/>
      <c r="V33" s="53"/>
      <c r="W33" s="53"/>
      <c r="X33" s="53"/>
    </row>
    <row r="34" spans="1:24" s="59" customFormat="1" ht="18.75">
      <c r="A34" s="5"/>
      <c r="B34" s="120"/>
      <c r="C34" s="5"/>
      <c r="D34" s="5"/>
      <c r="E34" s="5"/>
      <c r="F34" s="5"/>
      <c r="G34" s="5"/>
      <c r="H34" s="5"/>
      <c r="I34" s="5"/>
      <c r="J34" s="5"/>
      <c r="K34" s="5"/>
      <c r="L34" s="5"/>
      <c r="M34" s="54"/>
      <c r="N34" s="53"/>
      <c r="O34" s="53"/>
      <c r="P34" s="56"/>
      <c r="Q34" s="53"/>
      <c r="R34" s="53"/>
      <c r="S34" s="53"/>
      <c r="T34" s="53"/>
      <c r="U34" s="53"/>
      <c r="V34" s="53"/>
      <c r="W34" s="53"/>
      <c r="X34" s="53"/>
    </row>
    <row r="35" spans="1:24" s="101" customFormat="1" ht="39.75">
      <c r="A35" s="23"/>
      <c r="B35" s="39"/>
      <c r="C35" s="23" t="s">
        <v>101</v>
      </c>
      <c r="D35" s="203" t="s">
        <v>27</v>
      </c>
      <c r="E35" s="204"/>
      <c r="F35" s="128">
        <f>COUNTIF(C28:C34,"*")</f>
        <v>6</v>
      </c>
      <c r="G35" s="128"/>
      <c r="H35" s="128"/>
      <c r="I35" s="128">
        <f>COUNTIF(I28:I34,"*")</f>
        <v>0</v>
      </c>
      <c r="J35" s="128">
        <f>COUNTIF(J28:J34,"*")</f>
        <v>1</v>
      </c>
      <c r="K35" s="128">
        <f>SUM(K28:K34)</f>
        <v>15</v>
      </c>
      <c r="L35" s="128">
        <f>SUM(L28:L34)</f>
        <v>236</v>
      </c>
      <c r="M35" s="128">
        <f>SUM(M28:M34)</f>
        <v>184</v>
      </c>
      <c r="N35" s="129"/>
      <c r="O35" s="128">
        <f aca="true" t="shared" si="3" ref="O35:U35">COUNTIF(O28:O34,"*")</f>
        <v>6</v>
      </c>
      <c r="P35" s="131">
        <f t="shared" si="3"/>
        <v>0</v>
      </c>
      <c r="Q35" s="128">
        <f t="shared" si="3"/>
        <v>0</v>
      </c>
      <c r="R35" s="128">
        <f t="shared" si="3"/>
        <v>0</v>
      </c>
      <c r="S35" s="128">
        <f t="shared" si="3"/>
        <v>0</v>
      </c>
      <c r="T35" s="129">
        <f t="shared" si="3"/>
        <v>0</v>
      </c>
      <c r="U35" s="129">
        <f t="shared" si="3"/>
        <v>0</v>
      </c>
      <c r="V35" s="129">
        <f>COUNTIF(V28:V34,"*")</f>
        <v>0</v>
      </c>
      <c r="W35" s="129">
        <f>COUNTIF(W28:W34,"*")</f>
        <v>0</v>
      </c>
      <c r="X35" s="129">
        <f>COUNTIF(X28:X34,"*")</f>
        <v>0</v>
      </c>
    </row>
    <row r="36" spans="1:24" s="21" customFormat="1" ht="18.75">
      <c r="A36" s="22"/>
      <c r="B36" s="123"/>
      <c r="C36" s="17" t="s">
        <v>94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42"/>
      <c r="O36" s="42"/>
      <c r="P36" s="42"/>
      <c r="Q36" s="42"/>
      <c r="R36" s="42"/>
      <c r="S36" s="42"/>
      <c r="T36" s="130"/>
      <c r="U36" s="130"/>
      <c r="V36" s="130"/>
      <c r="W36" s="130"/>
      <c r="X36" s="103"/>
    </row>
    <row r="37" spans="1:24" s="59" customFormat="1" ht="103.5">
      <c r="A37" s="5">
        <v>1</v>
      </c>
      <c r="B37" s="120" t="s">
        <v>218</v>
      </c>
      <c r="C37" s="5" t="s">
        <v>788</v>
      </c>
      <c r="D37" s="43" t="s">
        <v>370</v>
      </c>
      <c r="E37" s="43" t="s">
        <v>789</v>
      </c>
      <c r="F37" s="43" t="s">
        <v>789</v>
      </c>
      <c r="G37" s="43" t="s">
        <v>790</v>
      </c>
      <c r="H37" s="43" t="s">
        <v>791</v>
      </c>
      <c r="I37" s="43"/>
      <c r="J37" s="43"/>
      <c r="K37" s="43">
        <v>1</v>
      </c>
      <c r="L37" s="43">
        <v>24</v>
      </c>
      <c r="M37" s="60">
        <v>24</v>
      </c>
      <c r="N37" s="66" t="s">
        <v>230</v>
      </c>
      <c r="O37" s="66" t="s">
        <v>229</v>
      </c>
      <c r="P37" s="96"/>
      <c r="Q37" s="66"/>
      <c r="R37" s="66"/>
      <c r="S37" s="66"/>
      <c r="T37" s="66"/>
      <c r="U37" s="66"/>
      <c r="V37" s="66"/>
      <c r="W37" s="66"/>
      <c r="X37" s="66"/>
    </row>
    <row r="38" spans="1:24" s="59" customFormat="1" ht="65.25">
      <c r="A38" s="5">
        <v>2</v>
      </c>
      <c r="B38" s="120" t="s">
        <v>218</v>
      </c>
      <c r="C38" s="5" t="s">
        <v>792</v>
      </c>
      <c r="D38" s="43" t="s">
        <v>793</v>
      </c>
      <c r="E38" s="43" t="s">
        <v>794</v>
      </c>
      <c r="F38" s="43" t="s">
        <v>783</v>
      </c>
      <c r="G38" s="43" t="s">
        <v>795</v>
      </c>
      <c r="H38" s="43" t="s">
        <v>775</v>
      </c>
      <c r="I38" s="43"/>
      <c r="J38" s="43"/>
      <c r="K38" s="43">
        <v>2</v>
      </c>
      <c r="L38" s="43">
        <v>52.1</v>
      </c>
      <c r="M38" s="60">
        <v>41</v>
      </c>
      <c r="N38" s="66" t="s">
        <v>230</v>
      </c>
      <c r="O38" s="66" t="s">
        <v>229</v>
      </c>
      <c r="P38" s="96"/>
      <c r="Q38" s="66"/>
      <c r="R38" s="66"/>
      <c r="S38" s="66"/>
      <c r="T38" s="66"/>
      <c r="U38" s="66"/>
      <c r="V38" s="66"/>
      <c r="W38" s="66"/>
      <c r="X38" s="66"/>
    </row>
    <row r="39" spans="1:24" s="59" customFormat="1" ht="65.25">
      <c r="A39" s="5">
        <v>3</v>
      </c>
      <c r="B39" s="120" t="s">
        <v>218</v>
      </c>
      <c r="C39" s="5" t="s">
        <v>796</v>
      </c>
      <c r="D39" s="43" t="s">
        <v>793</v>
      </c>
      <c r="E39" s="43" t="s">
        <v>797</v>
      </c>
      <c r="F39" s="43" t="s">
        <v>783</v>
      </c>
      <c r="G39" s="43" t="s">
        <v>795</v>
      </c>
      <c r="H39" s="43" t="s">
        <v>775</v>
      </c>
      <c r="I39" s="43"/>
      <c r="J39" s="43"/>
      <c r="K39" s="43">
        <v>4</v>
      </c>
      <c r="L39" s="43">
        <v>14.1</v>
      </c>
      <c r="M39" s="60">
        <v>14.1</v>
      </c>
      <c r="N39" s="66" t="s">
        <v>230</v>
      </c>
      <c r="O39" s="66" t="s">
        <v>229</v>
      </c>
      <c r="P39" s="96"/>
      <c r="Q39" s="66"/>
      <c r="R39" s="66"/>
      <c r="S39" s="66"/>
      <c r="T39" s="66"/>
      <c r="U39" s="66"/>
      <c r="V39" s="66"/>
      <c r="W39" s="66"/>
      <c r="X39" s="66"/>
    </row>
    <row r="40" spans="1:24" s="59" customFormat="1" ht="103.5">
      <c r="A40" s="5">
        <v>4</v>
      </c>
      <c r="B40" s="120" t="s">
        <v>218</v>
      </c>
      <c r="C40" s="5" t="s">
        <v>761</v>
      </c>
      <c r="D40" s="43" t="s">
        <v>370</v>
      </c>
      <c r="E40" s="43" t="s">
        <v>798</v>
      </c>
      <c r="F40" s="43" t="s">
        <v>798</v>
      </c>
      <c r="G40" s="43" t="s">
        <v>799</v>
      </c>
      <c r="H40" s="43" t="s">
        <v>771</v>
      </c>
      <c r="I40" s="43"/>
      <c r="J40" s="43"/>
      <c r="K40" s="43">
        <v>1</v>
      </c>
      <c r="L40" s="43">
        <v>9</v>
      </c>
      <c r="M40" s="60">
        <v>9</v>
      </c>
      <c r="N40" s="66" t="s">
        <v>230</v>
      </c>
      <c r="O40" s="66" t="s">
        <v>229</v>
      </c>
      <c r="P40" s="96"/>
      <c r="Q40" s="66"/>
      <c r="R40" s="66"/>
      <c r="S40" s="66"/>
      <c r="T40" s="66"/>
      <c r="U40" s="66"/>
      <c r="V40" s="66"/>
      <c r="W40" s="66"/>
      <c r="X40" s="66"/>
    </row>
    <row r="41" spans="1:24" s="59" customFormat="1" ht="103.5">
      <c r="A41" s="5">
        <v>5</v>
      </c>
      <c r="B41" s="120" t="s">
        <v>218</v>
      </c>
      <c r="C41" s="5" t="s">
        <v>800</v>
      </c>
      <c r="D41" s="43" t="s">
        <v>370</v>
      </c>
      <c r="E41" s="43" t="s">
        <v>801</v>
      </c>
      <c r="F41" s="43" t="s">
        <v>801</v>
      </c>
      <c r="G41" s="43" t="s">
        <v>802</v>
      </c>
      <c r="H41" s="43" t="s">
        <v>791</v>
      </c>
      <c r="I41" s="43"/>
      <c r="J41" s="43"/>
      <c r="K41" s="43">
        <v>1</v>
      </c>
      <c r="L41" s="43">
        <v>18</v>
      </c>
      <c r="M41" s="60">
        <v>18</v>
      </c>
      <c r="N41" s="66" t="s">
        <v>230</v>
      </c>
      <c r="O41" s="66" t="s">
        <v>229</v>
      </c>
      <c r="P41" s="96"/>
      <c r="Q41" s="66"/>
      <c r="R41" s="66"/>
      <c r="S41" s="66"/>
      <c r="T41" s="66"/>
      <c r="U41" s="66"/>
      <c r="V41" s="66"/>
      <c r="W41" s="66"/>
      <c r="X41" s="66"/>
    </row>
    <row r="42" spans="1:24" s="59" customFormat="1" ht="103.5">
      <c r="A42" s="5">
        <v>6</v>
      </c>
      <c r="B42" s="120" t="s">
        <v>218</v>
      </c>
      <c r="C42" s="5" t="s">
        <v>761</v>
      </c>
      <c r="D42" s="43" t="s">
        <v>370</v>
      </c>
      <c r="E42" s="43" t="s">
        <v>803</v>
      </c>
      <c r="F42" s="43" t="s">
        <v>803</v>
      </c>
      <c r="G42" s="43" t="s">
        <v>799</v>
      </c>
      <c r="H42" s="43" t="s">
        <v>771</v>
      </c>
      <c r="I42" s="43"/>
      <c r="J42" s="43"/>
      <c r="K42" s="43">
        <v>1</v>
      </c>
      <c r="L42" s="43">
        <v>12</v>
      </c>
      <c r="M42" s="60">
        <v>12</v>
      </c>
      <c r="N42" s="66" t="s">
        <v>230</v>
      </c>
      <c r="O42" s="66" t="s">
        <v>229</v>
      </c>
      <c r="P42" s="96"/>
      <c r="Q42" s="66"/>
      <c r="R42" s="66"/>
      <c r="S42" s="66"/>
      <c r="T42" s="66"/>
      <c r="U42" s="66"/>
      <c r="V42" s="66"/>
      <c r="W42" s="66"/>
      <c r="X42" s="66"/>
    </row>
    <row r="43" spans="1:24" s="59" customFormat="1" ht="103.5">
      <c r="A43" s="5">
        <v>7</v>
      </c>
      <c r="B43" s="120" t="s">
        <v>218</v>
      </c>
      <c r="C43" s="5" t="s">
        <v>761</v>
      </c>
      <c r="D43" s="43" t="s">
        <v>370</v>
      </c>
      <c r="E43" s="43" t="s">
        <v>804</v>
      </c>
      <c r="F43" s="43" t="s">
        <v>804</v>
      </c>
      <c r="G43" s="43" t="s">
        <v>805</v>
      </c>
      <c r="H43" s="43" t="s">
        <v>771</v>
      </c>
      <c r="I43" s="43"/>
      <c r="J43" s="43"/>
      <c r="K43" s="43">
        <v>2</v>
      </c>
      <c r="L43" s="43">
        <v>21</v>
      </c>
      <c r="M43" s="60">
        <v>17</v>
      </c>
      <c r="N43" s="66" t="s">
        <v>230</v>
      </c>
      <c r="O43" s="66" t="s">
        <v>229</v>
      </c>
      <c r="P43" s="96"/>
      <c r="Q43" s="66"/>
      <c r="R43" s="66"/>
      <c r="S43" s="66"/>
      <c r="T43" s="66"/>
      <c r="U43" s="66"/>
      <c r="V43" s="66"/>
      <c r="W43" s="66"/>
      <c r="X43" s="66"/>
    </row>
    <row r="44" spans="1:24" s="59" customFormat="1" ht="103.5">
      <c r="A44" s="5">
        <v>8</v>
      </c>
      <c r="B44" s="120" t="s">
        <v>218</v>
      </c>
      <c r="C44" s="5" t="s">
        <v>761</v>
      </c>
      <c r="D44" s="43" t="s">
        <v>370</v>
      </c>
      <c r="E44" s="43" t="s">
        <v>477</v>
      </c>
      <c r="F44" s="43" t="s">
        <v>477</v>
      </c>
      <c r="G44" s="43" t="s">
        <v>805</v>
      </c>
      <c r="H44" s="43" t="s">
        <v>771</v>
      </c>
      <c r="I44" s="43"/>
      <c r="J44" s="43"/>
      <c r="K44" s="43">
        <v>1</v>
      </c>
      <c r="L44" s="43">
        <v>21</v>
      </c>
      <c r="M44" s="60">
        <v>17</v>
      </c>
      <c r="N44" s="66" t="s">
        <v>230</v>
      </c>
      <c r="O44" s="66" t="s">
        <v>229</v>
      </c>
      <c r="P44" s="96"/>
      <c r="Q44" s="66"/>
      <c r="R44" s="66"/>
      <c r="S44" s="66"/>
      <c r="T44" s="66"/>
      <c r="U44" s="66"/>
      <c r="V44" s="66"/>
      <c r="W44" s="66"/>
      <c r="X44" s="66"/>
    </row>
    <row r="45" spans="1:24" s="59" customFormat="1" ht="103.5">
      <c r="A45" s="5">
        <v>9</v>
      </c>
      <c r="B45" s="120" t="s">
        <v>218</v>
      </c>
      <c r="C45" s="5" t="s">
        <v>761</v>
      </c>
      <c r="D45" s="43" t="s">
        <v>370</v>
      </c>
      <c r="E45" s="43" t="s">
        <v>806</v>
      </c>
      <c r="F45" s="43" t="s">
        <v>806</v>
      </c>
      <c r="G45" s="43" t="s">
        <v>807</v>
      </c>
      <c r="H45" s="43" t="s">
        <v>808</v>
      </c>
      <c r="I45" s="43"/>
      <c r="J45" s="43"/>
      <c r="K45" s="43">
        <v>2</v>
      </c>
      <c r="L45" s="43">
        <v>8</v>
      </c>
      <c r="M45" s="60">
        <v>8</v>
      </c>
      <c r="N45" s="66" t="s">
        <v>230</v>
      </c>
      <c r="O45" s="66" t="s">
        <v>229</v>
      </c>
      <c r="P45" s="96"/>
      <c r="Q45" s="66"/>
      <c r="R45" s="66"/>
      <c r="S45" s="66"/>
      <c r="T45" s="66"/>
      <c r="U45" s="66"/>
      <c r="V45" s="66"/>
      <c r="W45" s="66"/>
      <c r="X45" s="66"/>
    </row>
    <row r="46" spans="1:24" s="59" customFormat="1" ht="103.5">
      <c r="A46" s="5">
        <v>10</v>
      </c>
      <c r="B46" s="120" t="s">
        <v>218</v>
      </c>
      <c r="C46" s="5" t="s">
        <v>809</v>
      </c>
      <c r="D46" s="43" t="s">
        <v>370</v>
      </c>
      <c r="E46" s="43" t="s">
        <v>801</v>
      </c>
      <c r="F46" s="43" t="s">
        <v>801</v>
      </c>
      <c r="G46" s="43" t="s">
        <v>810</v>
      </c>
      <c r="H46" s="43" t="s">
        <v>808</v>
      </c>
      <c r="I46" s="43"/>
      <c r="J46" s="43"/>
      <c r="K46" s="43">
        <v>2</v>
      </c>
      <c r="L46" s="43">
        <v>30</v>
      </c>
      <c r="M46" s="60">
        <v>20</v>
      </c>
      <c r="N46" s="66" t="s">
        <v>230</v>
      </c>
      <c r="O46" s="66" t="s">
        <v>229</v>
      </c>
      <c r="P46" s="96"/>
      <c r="Q46" s="66"/>
      <c r="R46" s="66"/>
      <c r="S46" s="66"/>
      <c r="T46" s="66"/>
      <c r="U46" s="66"/>
      <c r="V46" s="66"/>
      <c r="W46" s="66"/>
      <c r="X46" s="66"/>
    </row>
    <row r="47" spans="1:24" s="59" customFormat="1" ht="103.5">
      <c r="A47" s="5">
        <v>11</v>
      </c>
      <c r="B47" s="120" t="s">
        <v>218</v>
      </c>
      <c r="C47" s="5" t="s">
        <v>811</v>
      </c>
      <c r="D47" s="43" t="s">
        <v>370</v>
      </c>
      <c r="E47" s="43" t="s">
        <v>378</v>
      </c>
      <c r="F47" s="43" t="s">
        <v>378</v>
      </c>
      <c r="G47" s="43" t="s">
        <v>812</v>
      </c>
      <c r="H47" s="43" t="s">
        <v>808</v>
      </c>
      <c r="I47" s="43"/>
      <c r="J47" s="43"/>
      <c r="K47" s="43">
        <v>1</v>
      </c>
      <c r="L47" s="43">
        <v>36</v>
      </c>
      <c r="M47" s="60">
        <v>36</v>
      </c>
      <c r="N47" s="66" t="s">
        <v>230</v>
      </c>
      <c r="O47" s="66" t="s">
        <v>229</v>
      </c>
      <c r="P47" s="96"/>
      <c r="Q47" s="66"/>
      <c r="R47" s="66"/>
      <c r="S47" s="66"/>
      <c r="T47" s="66"/>
      <c r="U47" s="66"/>
      <c r="V47" s="66"/>
      <c r="W47" s="66"/>
      <c r="X47" s="66"/>
    </row>
    <row r="48" spans="1:24" s="59" customFormat="1" ht="103.5">
      <c r="A48" s="5">
        <v>12</v>
      </c>
      <c r="B48" s="120" t="s">
        <v>218</v>
      </c>
      <c r="C48" s="5" t="s">
        <v>813</v>
      </c>
      <c r="D48" s="43" t="s">
        <v>370</v>
      </c>
      <c r="E48" s="43" t="s">
        <v>814</v>
      </c>
      <c r="F48" s="43" t="s">
        <v>814</v>
      </c>
      <c r="G48" s="43" t="s">
        <v>815</v>
      </c>
      <c r="H48" s="43" t="s">
        <v>808</v>
      </c>
      <c r="I48" s="43"/>
      <c r="J48" s="43"/>
      <c r="K48" s="43">
        <v>1</v>
      </c>
      <c r="L48" s="43">
        <v>24</v>
      </c>
      <c r="M48" s="60">
        <v>24</v>
      </c>
      <c r="N48" s="66" t="s">
        <v>230</v>
      </c>
      <c r="O48" s="66" t="s">
        <v>229</v>
      </c>
      <c r="P48" s="96"/>
      <c r="Q48" s="66"/>
      <c r="R48" s="66"/>
      <c r="S48" s="66"/>
      <c r="T48" s="66"/>
      <c r="U48" s="66"/>
      <c r="V48" s="66"/>
      <c r="W48" s="66"/>
      <c r="X48" s="66"/>
    </row>
    <row r="49" spans="1:24" s="59" customFormat="1" ht="52.5">
      <c r="A49" s="5">
        <v>13</v>
      </c>
      <c r="B49" s="120" t="s">
        <v>218</v>
      </c>
      <c r="C49" s="5" t="s">
        <v>816</v>
      </c>
      <c r="D49" s="43" t="s">
        <v>781</v>
      </c>
      <c r="E49" s="43" t="s">
        <v>817</v>
      </c>
      <c r="F49" s="43" t="s">
        <v>783</v>
      </c>
      <c r="G49" s="43" t="s">
        <v>818</v>
      </c>
      <c r="H49" s="43" t="s">
        <v>560</v>
      </c>
      <c r="I49" s="43"/>
      <c r="J49" s="43"/>
      <c r="K49" s="43">
        <v>3</v>
      </c>
      <c r="L49" s="43">
        <v>30</v>
      </c>
      <c r="M49" s="60">
        <v>23</v>
      </c>
      <c r="N49" s="66" t="s">
        <v>230</v>
      </c>
      <c r="O49" s="66" t="s">
        <v>229</v>
      </c>
      <c r="P49" s="96"/>
      <c r="Q49" s="66"/>
      <c r="R49" s="66"/>
      <c r="S49" s="66"/>
      <c r="T49" s="66"/>
      <c r="U49" s="66"/>
      <c r="V49" s="66"/>
      <c r="W49" s="66"/>
      <c r="X49" s="66"/>
    </row>
    <row r="50" spans="1:24" s="59" customFormat="1" ht="65.25">
      <c r="A50" s="5">
        <v>14</v>
      </c>
      <c r="B50" s="120" t="s">
        <v>218</v>
      </c>
      <c r="C50" s="5" t="s">
        <v>819</v>
      </c>
      <c r="D50" s="43" t="s">
        <v>820</v>
      </c>
      <c r="E50" s="43" t="s">
        <v>821</v>
      </c>
      <c r="F50" s="43" t="s">
        <v>222</v>
      </c>
      <c r="G50" s="43" t="s">
        <v>795</v>
      </c>
      <c r="H50" s="43" t="s">
        <v>822</v>
      </c>
      <c r="I50" s="43"/>
      <c r="J50" s="43"/>
      <c r="K50" s="43">
        <v>2</v>
      </c>
      <c r="L50" s="43">
        <v>30</v>
      </c>
      <c r="M50" s="60">
        <v>18</v>
      </c>
      <c r="N50" s="66" t="s">
        <v>230</v>
      </c>
      <c r="O50" s="66" t="s">
        <v>229</v>
      </c>
      <c r="P50" s="96"/>
      <c r="Q50" s="66"/>
      <c r="R50" s="66"/>
      <c r="S50" s="66"/>
      <c r="T50" s="66"/>
      <c r="U50" s="66"/>
      <c r="V50" s="66"/>
      <c r="W50" s="66"/>
      <c r="X50" s="66"/>
    </row>
    <row r="51" spans="1:24" s="59" customFormat="1" ht="65.25">
      <c r="A51" s="5">
        <v>15</v>
      </c>
      <c r="B51" s="120" t="s">
        <v>218</v>
      </c>
      <c r="C51" s="5" t="s">
        <v>823</v>
      </c>
      <c r="D51" s="43" t="s">
        <v>820</v>
      </c>
      <c r="E51" s="43" t="s">
        <v>824</v>
      </c>
      <c r="F51" s="43" t="s">
        <v>222</v>
      </c>
      <c r="G51" s="43" t="s">
        <v>795</v>
      </c>
      <c r="H51" s="43" t="s">
        <v>822</v>
      </c>
      <c r="I51" s="43"/>
      <c r="J51" s="43"/>
      <c r="K51" s="43">
        <v>2</v>
      </c>
      <c r="L51" s="43">
        <v>30</v>
      </c>
      <c r="M51" s="60">
        <v>18</v>
      </c>
      <c r="N51" s="66" t="s">
        <v>230</v>
      </c>
      <c r="O51" s="66" t="s">
        <v>229</v>
      </c>
      <c r="P51" s="96"/>
      <c r="Q51" s="66"/>
      <c r="R51" s="66"/>
      <c r="S51" s="66"/>
      <c r="T51" s="66"/>
      <c r="U51" s="66"/>
      <c r="V51" s="66"/>
      <c r="W51" s="66"/>
      <c r="X51" s="66"/>
    </row>
    <row r="52" spans="1:24" s="59" customFormat="1" ht="192.75">
      <c r="A52" s="5">
        <v>16</v>
      </c>
      <c r="B52" s="120" t="s">
        <v>218</v>
      </c>
      <c r="C52" s="5" t="s">
        <v>825</v>
      </c>
      <c r="D52" s="43" t="s">
        <v>820</v>
      </c>
      <c r="E52" s="43" t="s">
        <v>826</v>
      </c>
      <c r="F52" s="43" t="s">
        <v>222</v>
      </c>
      <c r="G52" s="43" t="s">
        <v>827</v>
      </c>
      <c r="H52" s="43" t="s">
        <v>828</v>
      </c>
      <c r="I52" s="43"/>
      <c r="J52" s="43"/>
      <c r="K52" s="43">
        <v>1</v>
      </c>
      <c r="L52" s="43">
        <v>30</v>
      </c>
      <c r="M52" s="60">
        <v>18</v>
      </c>
      <c r="N52" s="66" t="s">
        <v>230</v>
      </c>
      <c r="O52" s="66" t="s">
        <v>229</v>
      </c>
      <c r="P52" s="96"/>
      <c r="Q52" s="66"/>
      <c r="R52" s="66"/>
      <c r="S52" s="66"/>
      <c r="T52" s="66"/>
      <c r="U52" s="66">
        <v>150</v>
      </c>
      <c r="V52" s="66"/>
      <c r="W52" s="66"/>
      <c r="X52" s="66"/>
    </row>
    <row r="53" spans="1:24" s="59" customFormat="1" ht="78">
      <c r="A53" s="5">
        <v>17</v>
      </c>
      <c r="B53" s="120" t="s">
        <v>616</v>
      </c>
      <c r="C53" s="5" t="s">
        <v>829</v>
      </c>
      <c r="D53" s="43" t="s">
        <v>758</v>
      </c>
      <c r="E53" s="43" t="s">
        <v>830</v>
      </c>
      <c r="F53" s="43" t="s">
        <v>830</v>
      </c>
      <c r="G53" s="43" t="s">
        <v>831</v>
      </c>
      <c r="H53" s="43" t="s">
        <v>508</v>
      </c>
      <c r="I53" s="43"/>
      <c r="J53" s="43"/>
      <c r="K53" s="43">
        <v>1</v>
      </c>
      <c r="L53" s="43">
        <v>25</v>
      </c>
      <c r="M53" s="60">
        <v>18</v>
      </c>
      <c r="N53" s="66" t="s">
        <v>230</v>
      </c>
      <c r="O53" s="66" t="s">
        <v>229</v>
      </c>
      <c r="P53" s="96"/>
      <c r="Q53" s="66"/>
      <c r="R53" s="66"/>
      <c r="S53" s="66"/>
      <c r="T53" s="66"/>
      <c r="U53" s="66"/>
      <c r="V53" s="66"/>
      <c r="W53" s="66"/>
      <c r="X53" s="66"/>
    </row>
    <row r="54" spans="1:24" s="59" customFormat="1" ht="18.75">
      <c r="A54" s="5"/>
      <c r="B54" s="120"/>
      <c r="C54" s="5"/>
      <c r="D54" s="5"/>
      <c r="E54" s="5"/>
      <c r="F54" s="5"/>
      <c r="G54" s="5"/>
      <c r="H54" s="5"/>
      <c r="I54" s="5"/>
      <c r="J54" s="5"/>
      <c r="K54" s="5"/>
      <c r="L54" s="5"/>
      <c r="M54" s="54"/>
      <c r="N54" s="53"/>
      <c r="O54" s="53"/>
      <c r="P54" s="56"/>
      <c r="Q54" s="53"/>
      <c r="R54" s="53"/>
      <c r="S54" s="53"/>
      <c r="T54" s="53"/>
      <c r="U54" s="53"/>
      <c r="V54" s="53"/>
      <c r="W54" s="53"/>
      <c r="X54" s="53"/>
    </row>
    <row r="55" spans="1:24" s="101" customFormat="1" ht="39.75">
      <c r="A55" s="23"/>
      <c r="B55" s="39"/>
      <c r="C55" s="128" t="s">
        <v>102</v>
      </c>
      <c r="D55" s="203" t="s">
        <v>27</v>
      </c>
      <c r="E55" s="204"/>
      <c r="F55" s="128">
        <f>COUNTIF(C37:C54,"*")</f>
        <v>17</v>
      </c>
      <c r="G55" s="128"/>
      <c r="H55" s="128"/>
      <c r="I55" s="128">
        <f>COUNTIF(I37:I54,"*")</f>
        <v>0</v>
      </c>
      <c r="J55" s="128">
        <f>COUNTIF(J37:J54,"*")</f>
        <v>0</v>
      </c>
      <c r="K55" s="128">
        <f>SUM(K37:K54)</f>
        <v>28</v>
      </c>
      <c r="L55" s="128">
        <f>SUM(L37:L54)</f>
        <v>414.2</v>
      </c>
      <c r="M55" s="128">
        <f>SUM(M37:M54)</f>
        <v>335.1</v>
      </c>
      <c r="N55" s="129"/>
      <c r="O55" s="23">
        <f aca="true" t="shared" si="4" ref="O55:X55">COUNTIF(O37:O54,"*")</f>
        <v>17</v>
      </c>
      <c r="P55" s="24">
        <f t="shared" si="4"/>
        <v>0</v>
      </c>
      <c r="Q55" s="23">
        <f t="shared" si="4"/>
        <v>0</v>
      </c>
      <c r="R55" s="128">
        <f t="shared" si="4"/>
        <v>0</v>
      </c>
      <c r="S55" s="128">
        <f t="shared" si="4"/>
        <v>0</v>
      </c>
      <c r="T55" s="129">
        <f t="shared" si="4"/>
        <v>0</v>
      </c>
      <c r="U55" s="129">
        <f t="shared" si="4"/>
        <v>0</v>
      </c>
      <c r="V55" s="129">
        <f t="shared" si="4"/>
        <v>0</v>
      </c>
      <c r="W55" s="129">
        <f t="shared" si="4"/>
        <v>0</v>
      </c>
      <c r="X55" s="129">
        <f t="shared" si="4"/>
        <v>0</v>
      </c>
    </row>
    <row r="56" spans="1:24" s="21" customFormat="1" ht="18.75">
      <c r="A56" s="22"/>
      <c r="B56" s="29"/>
      <c r="C56" s="18" t="s">
        <v>95</v>
      </c>
      <c r="D56" s="18"/>
      <c r="E56" s="18"/>
      <c r="F56" s="18"/>
      <c r="G56" s="18" t="s">
        <v>95</v>
      </c>
      <c r="H56" s="18"/>
      <c r="I56" s="18"/>
      <c r="J56" s="18"/>
      <c r="K56" s="18"/>
      <c r="L56" s="18"/>
      <c r="M56" s="18"/>
      <c r="N56" s="18" t="s">
        <v>95</v>
      </c>
      <c r="O56" s="132"/>
      <c r="P56" s="97"/>
      <c r="Q56" s="97"/>
      <c r="R56" s="42"/>
      <c r="S56" s="42"/>
      <c r="T56" s="130"/>
      <c r="U56" s="130"/>
      <c r="V56" s="130"/>
      <c r="W56" s="130"/>
      <c r="X56" s="103"/>
    </row>
    <row r="57" spans="1:24" s="59" customFormat="1" ht="65.25">
      <c r="A57" s="5">
        <v>1</v>
      </c>
      <c r="B57" s="122" t="s">
        <v>832</v>
      </c>
      <c r="C57" s="43" t="s">
        <v>788</v>
      </c>
      <c r="D57" s="43" t="s">
        <v>833</v>
      </c>
      <c r="E57" s="43" t="s">
        <v>834</v>
      </c>
      <c r="F57" s="43"/>
      <c r="G57" s="43" t="s">
        <v>835</v>
      </c>
      <c r="H57" s="43" t="s">
        <v>349</v>
      </c>
      <c r="I57" s="43"/>
      <c r="J57" s="43"/>
      <c r="K57" s="43">
        <v>1</v>
      </c>
      <c r="L57" s="43">
        <v>18</v>
      </c>
      <c r="M57" s="60">
        <v>16</v>
      </c>
      <c r="N57" s="66" t="s">
        <v>230</v>
      </c>
      <c r="O57" s="66" t="s">
        <v>229</v>
      </c>
      <c r="P57" s="96"/>
      <c r="Q57" s="53"/>
      <c r="R57" s="66"/>
      <c r="S57" s="66"/>
      <c r="T57" s="66"/>
      <c r="U57" s="66"/>
      <c r="V57" s="66"/>
      <c r="W57" s="66"/>
      <c r="X57" s="66"/>
    </row>
    <row r="58" spans="1:24" s="59" customFormat="1" ht="65.25">
      <c r="A58" s="5">
        <v>2</v>
      </c>
      <c r="B58" s="122" t="s">
        <v>578</v>
      </c>
      <c r="C58" s="43" t="s">
        <v>788</v>
      </c>
      <c r="D58" s="43" t="s">
        <v>836</v>
      </c>
      <c r="E58" s="43" t="s">
        <v>837</v>
      </c>
      <c r="F58" s="43" t="s">
        <v>837</v>
      </c>
      <c r="G58" s="43" t="s">
        <v>835</v>
      </c>
      <c r="H58" s="43" t="s">
        <v>349</v>
      </c>
      <c r="I58" s="43"/>
      <c r="J58" s="43"/>
      <c r="K58" s="43">
        <v>1</v>
      </c>
      <c r="L58" s="43">
        <v>20</v>
      </c>
      <c r="M58" s="60">
        <v>18</v>
      </c>
      <c r="N58" s="66" t="s">
        <v>230</v>
      </c>
      <c r="O58" s="66" t="s">
        <v>229</v>
      </c>
      <c r="P58" s="96"/>
      <c r="Q58" s="53"/>
      <c r="R58" s="66"/>
      <c r="S58" s="66"/>
      <c r="T58" s="66"/>
      <c r="U58" s="66"/>
      <c r="V58" s="66"/>
      <c r="W58" s="66"/>
      <c r="X58" s="66"/>
    </row>
    <row r="59" spans="1:24" s="59" customFormat="1" ht="65.25">
      <c r="A59" s="5">
        <v>3</v>
      </c>
      <c r="B59" s="122" t="s">
        <v>251</v>
      </c>
      <c r="C59" s="43" t="s">
        <v>776</v>
      </c>
      <c r="D59" s="43" t="s">
        <v>838</v>
      </c>
      <c r="E59" s="43" t="s">
        <v>839</v>
      </c>
      <c r="F59" s="43" t="s">
        <v>839</v>
      </c>
      <c r="G59" s="43" t="s">
        <v>835</v>
      </c>
      <c r="H59" s="43" t="s">
        <v>318</v>
      </c>
      <c r="I59" s="43"/>
      <c r="J59" s="43"/>
      <c r="K59" s="43">
        <v>1</v>
      </c>
      <c r="L59" s="43">
        <v>20</v>
      </c>
      <c r="M59" s="60">
        <v>15</v>
      </c>
      <c r="N59" s="66" t="s">
        <v>230</v>
      </c>
      <c r="O59" s="66" t="s">
        <v>229</v>
      </c>
      <c r="P59" s="96"/>
      <c r="Q59" s="53"/>
      <c r="R59" s="66"/>
      <c r="S59" s="66"/>
      <c r="T59" s="66"/>
      <c r="U59" s="66"/>
      <c r="V59" s="66"/>
      <c r="W59" s="66"/>
      <c r="X59" s="66"/>
    </row>
    <row r="60" spans="1:24" s="59" customFormat="1" ht="18.75">
      <c r="A60" s="5"/>
      <c r="B60" s="120"/>
      <c r="C60" s="5"/>
      <c r="D60" s="5"/>
      <c r="E60" s="5"/>
      <c r="F60" s="5"/>
      <c r="G60" s="5"/>
      <c r="H60" s="5"/>
      <c r="I60" s="5"/>
      <c r="J60" s="5"/>
      <c r="K60" s="5"/>
      <c r="L60" s="5"/>
      <c r="M60" s="54"/>
      <c r="N60" s="53"/>
      <c r="O60" s="53"/>
      <c r="P60" s="56"/>
      <c r="Q60" s="53"/>
      <c r="R60" s="53"/>
      <c r="S60" s="53"/>
      <c r="T60" s="53"/>
      <c r="U60" s="53"/>
      <c r="V60" s="53"/>
      <c r="W60" s="53"/>
      <c r="X60" s="53"/>
    </row>
    <row r="61" spans="1:24" s="101" customFormat="1" ht="41.25" customHeight="1">
      <c r="A61" s="63"/>
      <c r="B61" s="124"/>
      <c r="C61" s="23" t="s">
        <v>103</v>
      </c>
      <c r="D61" s="217" t="s">
        <v>27</v>
      </c>
      <c r="E61" s="218"/>
      <c r="F61" s="23">
        <f>COUNTIF(C57:C60,"*")</f>
        <v>3</v>
      </c>
      <c r="G61" s="63"/>
      <c r="H61" s="23"/>
      <c r="I61" s="23">
        <f>COUNTIF(I57:I60,"*")</f>
        <v>0</v>
      </c>
      <c r="J61" s="23">
        <f>COUNTIF(J57:J60,"*")</f>
        <v>0</v>
      </c>
      <c r="K61" s="23">
        <f>SUM(K57:K60)</f>
        <v>3</v>
      </c>
      <c r="L61" s="23">
        <f>SUM(L57:L60)</f>
        <v>58</v>
      </c>
      <c r="M61" s="23">
        <f>SUM(M57:M60)</f>
        <v>49</v>
      </c>
      <c r="N61" s="23"/>
      <c r="O61" s="23">
        <f aca="true" t="shared" si="5" ref="O61:X61">COUNTIF(O57:O60,"*")</f>
        <v>3</v>
      </c>
      <c r="P61" s="24">
        <f t="shared" si="5"/>
        <v>0</v>
      </c>
      <c r="Q61" s="23">
        <f t="shared" si="5"/>
        <v>0</v>
      </c>
      <c r="R61" s="23">
        <f t="shared" si="5"/>
        <v>0</v>
      </c>
      <c r="S61" s="23">
        <f t="shared" si="5"/>
        <v>0</v>
      </c>
      <c r="T61" s="63">
        <f t="shared" si="5"/>
        <v>0</v>
      </c>
      <c r="U61" s="63">
        <f t="shared" si="5"/>
        <v>0</v>
      </c>
      <c r="V61" s="63">
        <f t="shared" si="5"/>
        <v>0</v>
      </c>
      <c r="W61" s="63">
        <f t="shared" si="5"/>
        <v>0</v>
      </c>
      <c r="X61" s="63">
        <f t="shared" si="5"/>
        <v>0</v>
      </c>
    </row>
    <row r="62" spans="1:24" s="102" customFormat="1" ht="27">
      <c r="A62" s="67"/>
      <c r="B62" s="125"/>
      <c r="C62" s="68" t="s">
        <v>97</v>
      </c>
      <c r="D62" s="67"/>
      <c r="E62" s="67"/>
      <c r="F62" s="67">
        <f>Лист3!B20</f>
        <v>26</v>
      </c>
      <c r="G62" s="67"/>
      <c r="H62" s="67"/>
      <c r="I62" s="67">
        <f>Лист3!C20</f>
        <v>0</v>
      </c>
      <c r="J62" s="67">
        <f>Лист3!D20</f>
        <v>1</v>
      </c>
      <c r="K62" s="67">
        <f>Лист3!E20</f>
        <v>46</v>
      </c>
      <c r="L62" s="67">
        <f>Лист3!F20</f>
        <v>708.2</v>
      </c>
      <c r="M62" s="67">
        <f>Лист3!G20</f>
        <v>568.1</v>
      </c>
      <c r="N62" s="67"/>
      <c r="O62" s="67">
        <f>Лист3!H20</f>
        <v>26</v>
      </c>
      <c r="P62" s="106">
        <f>Лист3!I20</f>
        <v>0</v>
      </c>
      <c r="Q62" s="65">
        <f>Лист3!J20</f>
        <v>0</v>
      </c>
      <c r="R62" s="65">
        <f>Лист3!K20</f>
        <v>0</v>
      </c>
      <c r="S62" s="65">
        <f>Лист3!L20</f>
        <v>0</v>
      </c>
      <c r="T62" s="65">
        <f>(T61+T55+T35)</f>
        <v>0</v>
      </c>
      <c r="U62" s="65">
        <f>(U61+U55+U35)</f>
        <v>0</v>
      </c>
      <c r="V62" s="65">
        <f>(V61+V55+V35)</f>
        <v>0</v>
      </c>
      <c r="W62" s="65">
        <f>(W61+W55+W35)</f>
        <v>0</v>
      </c>
      <c r="X62" s="65">
        <f>(X61+X55+X35)</f>
        <v>0</v>
      </c>
    </row>
    <row r="63" spans="16:24" ht="18.75">
      <c r="P63" s="108"/>
      <c r="Q63" s="108"/>
      <c r="R63" s="108"/>
      <c r="S63" s="108"/>
      <c r="T63" s="108"/>
      <c r="U63" s="108"/>
      <c r="V63" s="108"/>
      <c r="W63" s="108"/>
      <c r="X63" s="108"/>
    </row>
    <row r="64" spans="16:24" ht="18.75">
      <c r="P64" s="107"/>
      <c r="Q64" s="107"/>
      <c r="R64" s="107"/>
      <c r="S64" s="107"/>
      <c r="T64" s="107"/>
      <c r="U64" s="107"/>
      <c r="V64" s="107"/>
      <c r="W64" s="107"/>
      <c r="X64" s="107"/>
    </row>
    <row r="65" spans="16:24" ht="18.75">
      <c r="P65" s="107"/>
      <c r="Q65" s="107"/>
      <c r="R65" s="107"/>
      <c r="S65" s="107"/>
      <c r="T65" s="107"/>
      <c r="U65" s="107"/>
      <c r="V65" s="107"/>
      <c r="W65" s="107"/>
      <c r="X65" s="107"/>
    </row>
    <row r="66" spans="16:24" ht="18.75">
      <c r="P66" s="107"/>
      <c r="Q66" s="107"/>
      <c r="R66" s="107"/>
      <c r="S66" s="107"/>
      <c r="T66" s="107"/>
      <c r="U66" s="107"/>
      <c r="V66" s="107"/>
      <c r="W66" s="107"/>
      <c r="X66" s="107"/>
    </row>
    <row r="67" spans="16:24" ht="18.75">
      <c r="P67" s="107"/>
      <c r="Q67" s="107"/>
      <c r="R67" s="107"/>
      <c r="S67" s="107"/>
      <c r="T67" s="107"/>
      <c r="U67" s="107"/>
      <c r="V67" s="107"/>
      <c r="W67" s="107"/>
      <c r="X67" s="107"/>
    </row>
    <row r="68" spans="16:24" ht="18.75">
      <c r="P68" s="107"/>
      <c r="Q68" s="107"/>
      <c r="R68" s="107"/>
      <c r="S68" s="107"/>
      <c r="T68" s="107"/>
      <c r="U68" s="107"/>
      <c r="V68" s="107"/>
      <c r="W68" s="107"/>
      <c r="X68" s="107"/>
    </row>
    <row r="69" spans="16:24" ht="18.75">
      <c r="P69" s="107"/>
      <c r="Q69" s="107"/>
      <c r="R69" s="107"/>
      <c r="S69" s="107"/>
      <c r="T69" s="107"/>
      <c r="U69" s="107"/>
      <c r="V69" s="107"/>
      <c r="W69" s="107"/>
      <c r="X69" s="107"/>
    </row>
    <row r="70" spans="16:24" ht="18.75">
      <c r="P70" s="107"/>
      <c r="Q70" s="107"/>
      <c r="R70" s="107"/>
      <c r="S70" s="107"/>
      <c r="T70" s="107"/>
      <c r="U70" s="107"/>
      <c r="V70" s="107"/>
      <c r="W70" s="107"/>
      <c r="X70" s="107"/>
    </row>
    <row r="71" spans="16:24" ht="18.75">
      <c r="P71" s="107"/>
      <c r="Q71" s="107"/>
      <c r="R71" s="107"/>
      <c r="S71" s="107"/>
      <c r="T71" s="107"/>
      <c r="U71" s="107"/>
      <c r="V71" s="107"/>
      <c r="W71" s="107"/>
      <c r="X71" s="107"/>
    </row>
    <row r="72" spans="16:24" ht="18.75">
      <c r="P72" s="107"/>
      <c r="Q72" s="107"/>
      <c r="R72" s="107"/>
      <c r="S72" s="107"/>
      <c r="T72" s="107"/>
      <c r="U72" s="107"/>
      <c r="V72" s="107"/>
      <c r="W72" s="107"/>
      <c r="X72" s="107"/>
    </row>
    <row r="73" spans="16:24" ht="18.75">
      <c r="P73" s="107"/>
      <c r="Q73" s="107"/>
      <c r="R73" s="107"/>
      <c r="S73" s="107"/>
      <c r="T73" s="107"/>
      <c r="U73" s="107"/>
      <c r="V73" s="107"/>
      <c r="W73" s="107"/>
      <c r="X73" s="107"/>
    </row>
    <row r="74" spans="16:24" ht="18.75">
      <c r="P74" s="107"/>
      <c r="Q74" s="107"/>
      <c r="R74" s="107"/>
      <c r="S74" s="107"/>
      <c r="T74" s="107"/>
      <c r="U74" s="107"/>
      <c r="V74" s="107"/>
      <c r="W74" s="107"/>
      <c r="X74" s="107"/>
    </row>
    <row r="75" spans="16:24" ht="18.75">
      <c r="P75" s="107"/>
      <c r="Q75" s="107"/>
      <c r="R75" s="107"/>
      <c r="S75" s="107"/>
      <c r="T75" s="107"/>
      <c r="U75" s="107"/>
      <c r="V75" s="107"/>
      <c r="W75" s="107"/>
      <c r="X75" s="107"/>
    </row>
    <row r="76" spans="16:24" ht="18.75">
      <c r="P76" s="107"/>
      <c r="Q76" s="107"/>
      <c r="R76" s="107"/>
      <c r="S76" s="107"/>
      <c r="T76" s="107"/>
      <c r="U76" s="107"/>
      <c r="V76" s="107"/>
      <c r="W76" s="107"/>
      <c r="X76" s="107"/>
    </row>
    <row r="77" spans="16:24" ht="18.75">
      <c r="P77" s="107"/>
      <c r="Q77" s="107"/>
      <c r="R77" s="107"/>
      <c r="S77" s="107"/>
      <c r="T77" s="107"/>
      <c r="U77" s="107"/>
      <c r="V77" s="107"/>
      <c r="W77" s="107"/>
      <c r="X77" s="107"/>
    </row>
    <row r="78" spans="16:24" ht="18.75">
      <c r="P78" s="107"/>
      <c r="Q78" s="107"/>
      <c r="R78" s="107"/>
      <c r="S78" s="107"/>
      <c r="T78" s="107"/>
      <c r="U78" s="107"/>
      <c r="V78" s="107"/>
      <c r="W78" s="107"/>
      <c r="X78" s="107"/>
    </row>
    <row r="79" spans="16:24" ht="18.75">
      <c r="P79" s="107"/>
      <c r="Q79" s="107"/>
      <c r="R79" s="107"/>
      <c r="S79" s="107"/>
      <c r="T79" s="107"/>
      <c r="U79" s="107"/>
      <c r="V79" s="107"/>
      <c r="W79" s="107"/>
      <c r="X79" s="107"/>
    </row>
    <row r="80" spans="16:24" ht="18.75">
      <c r="P80" s="107"/>
      <c r="Q80" s="107"/>
      <c r="R80" s="107"/>
      <c r="S80" s="107"/>
      <c r="T80" s="107"/>
      <c r="U80" s="107"/>
      <c r="V80" s="107"/>
      <c r="W80" s="107"/>
      <c r="X80" s="107"/>
    </row>
    <row r="81" spans="16:24" ht="18.75">
      <c r="P81" s="107"/>
      <c r="Q81" s="107"/>
      <c r="R81" s="107"/>
      <c r="S81" s="107"/>
      <c r="T81" s="107"/>
      <c r="U81" s="107"/>
      <c r="V81" s="107"/>
      <c r="W81" s="107"/>
      <c r="X81" s="107"/>
    </row>
    <row r="82" spans="16:24" ht="18.75">
      <c r="P82" s="107"/>
      <c r="Q82" s="107"/>
      <c r="R82" s="107"/>
      <c r="S82" s="107"/>
      <c r="T82" s="107"/>
      <c r="U82" s="107"/>
      <c r="V82" s="107"/>
      <c r="W82" s="107"/>
      <c r="X82" s="107"/>
    </row>
    <row r="83" spans="16:24" ht="18.75">
      <c r="P83" s="107"/>
      <c r="Q83" s="107"/>
      <c r="R83" s="107"/>
      <c r="S83" s="107"/>
      <c r="T83" s="107"/>
      <c r="U83" s="107"/>
      <c r="V83" s="107"/>
      <c r="W83" s="107"/>
      <c r="X83" s="107"/>
    </row>
    <row r="84" spans="16:24" ht="18.75">
      <c r="P84" s="107"/>
      <c r="Q84" s="107"/>
      <c r="R84" s="107"/>
      <c r="S84" s="107"/>
      <c r="T84" s="107"/>
      <c r="U84" s="107"/>
      <c r="V84" s="107"/>
      <c r="W84" s="107"/>
      <c r="X84" s="107"/>
    </row>
    <row r="85" spans="16:24" ht="18.75">
      <c r="P85" s="107"/>
      <c r="Q85" s="107"/>
      <c r="R85" s="107"/>
      <c r="S85" s="107"/>
      <c r="T85" s="107"/>
      <c r="U85" s="107"/>
      <c r="V85" s="107"/>
      <c r="W85" s="107"/>
      <c r="X85" s="107"/>
    </row>
    <row r="86" spans="16:24" ht="18.75">
      <c r="P86" s="107"/>
      <c r="Q86" s="107"/>
      <c r="R86" s="107"/>
      <c r="S86" s="107"/>
      <c r="T86" s="107"/>
      <c r="U86" s="107"/>
      <c r="V86" s="107"/>
      <c r="W86" s="107"/>
      <c r="X86" s="107"/>
    </row>
    <row r="87" spans="16:24" ht="18.75">
      <c r="P87" s="107"/>
      <c r="Q87" s="107"/>
      <c r="R87" s="107"/>
      <c r="S87" s="107"/>
      <c r="T87" s="107"/>
      <c r="U87" s="107"/>
      <c r="V87" s="107"/>
      <c r="W87" s="107"/>
      <c r="X87" s="107"/>
    </row>
    <row r="88" spans="16:24" ht="18.75">
      <c r="P88" s="107"/>
      <c r="Q88" s="107"/>
      <c r="R88" s="107"/>
      <c r="S88" s="107"/>
      <c r="T88" s="107"/>
      <c r="U88" s="107"/>
      <c r="V88" s="107"/>
      <c r="W88" s="107"/>
      <c r="X88" s="107"/>
    </row>
    <row r="89" spans="16:24" ht="18.75">
      <c r="P89" s="107"/>
      <c r="Q89" s="107"/>
      <c r="R89" s="107"/>
      <c r="S89" s="107"/>
      <c r="T89" s="107"/>
      <c r="U89" s="107"/>
      <c r="V89" s="107"/>
      <c r="W89" s="107"/>
      <c r="X89" s="107"/>
    </row>
    <row r="90" spans="16:24" ht="18.75">
      <c r="P90" s="107"/>
      <c r="Q90" s="107"/>
      <c r="R90" s="107"/>
      <c r="S90" s="107"/>
      <c r="T90" s="107"/>
      <c r="U90" s="107"/>
      <c r="V90" s="107"/>
      <c r="W90" s="107"/>
      <c r="X90" s="107"/>
    </row>
    <row r="91" spans="16:24" ht="18.75">
      <c r="P91" s="107"/>
      <c r="Q91" s="107"/>
      <c r="R91" s="107"/>
      <c r="S91" s="107"/>
      <c r="T91" s="107"/>
      <c r="U91" s="107"/>
      <c r="V91" s="107"/>
      <c r="W91" s="107"/>
      <c r="X91" s="107"/>
    </row>
    <row r="92" spans="16:24" ht="18.75">
      <c r="P92" s="107"/>
      <c r="Q92" s="107"/>
      <c r="R92" s="107"/>
      <c r="S92" s="107"/>
      <c r="T92" s="107"/>
      <c r="U92" s="107"/>
      <c r="V92" s="107"/>
      <c r="W92" s="107"/>
      <c r="X92" s="107"/>
    </row>
    <row r="93" spans="16:24" ht="18.75">
      <c r="P93" s="107"/>
      <c r="Q93" s="107"/>
      <c r="R93" s="107"/>
      <c r="S93" s="107"/>
      <c r="T93" s="107"/>
      <c r="U93" s="107"/>
      <c r="V93" s="107"/>
      <c r="W93" s="107"/>
      <c r="X93" s="107"/>
    </row>
    <row r="94" spans="16:24" ht="18.75">
      <c r="P94" s="107"/>
      <c r="Q94" s="107"/>
      <c r="R94" s="107"/>
      <c r="S94" s="107"/>
      <c r="T94" s="107"/>
      <c r="U94" s="107"/>
      <c r="V94" s="107"/>
      <c r="W94" s="107"/>
      <c r="X94" s="107"/>
    </row>
    <row r="95" spans="16:24" ht="18.75">
      <c r="P95" s="107"/>
      <c r="Q95" s="107"/>
      <c r="R95" s="107"/>
      <c r="S95" s="107"/>
      <c r="T95" s="107"/>
      <c r="U95" s="107"/>
      <c r="V95" s="107"/>
      <c r="W95" s="107"/>
      <c r="X95" s="107"/>
    </row>
    <row r="96" spans="16:24" ht="18.75">
      <c r="P96" s="107"/>
      <c r="Q96" s="107"/>
      <c r="R96" s="107"/>
      <c r="S96" s="107"/>
      <c r="T96" s="107"/>
      <c r="U96" s="107"/>
      <c r="V96" s="107"/>
      <c r="W96" s="107"/>
      <c r="X96" s="107"/>
    </row>
    <row r="97" spans="16:24" ht="18.75">
      <c r="P97" s="107"/>
      <c r="Q97" s="107"/>
      <c r="R97" s="107"/>
      <c r="S97" s="107"/>
      <c r="T97" s="107"/>
      <c r="U97" s="107"/>
      <c r="V97" s="107"/>
      <c r="W97" s="107"/>
      <c r="X97" s="107"/>
    </row>
    <row r="98" spans="16:24" ht="18.75">
      <c r="P98" s="107"/>
      <c r="Q98" s="107"/>
      <c r="R98" s="107"/>
      <c r="S98" s="107"/>
      <c r="T98" s="107"/>
      <c r="U98" s="107"/>
      <c r="V98" s="107"/>
      <c r="W98" s="107"/>
      <c r="X98" s="107"/>
    </row>
    <row r="99" spans="16:24" ht="18.75">
      <c r="P99" s="107"/>
      <c r="Q99" s="107"/>
      <c r="R99" s="107"/>
      <c r="S99" s="107"/>
      <c r="T99" s="107"/>
      <c r="U99" s="107"/>
      <c r="V99" s="107"/>
      <c r="W99" s="107"/>
      <c r="X99" s="107"/>
    </row>
    <row r="100" spans="16:24" ht="18.75">
      <c r="P100" s="107"/>
      <c r="Q100" s="107"/>
      <c r="R100" s="107"/>
      <c r="S100" s="107"/>
      <c r="T100" s="107"/>
      <c r="U100" s="107"/>
      <c r="V100" s="107"/>
      <c r="W100" s="107"/>
      <c r="X100" s="107"/>
    </row>
    <row r="101" spans="16:24" ht="18.75">
      <c r="P101" s="107"/>
      <c r="Q101" s="107"/>
      <c r="R101" s="107"/>
      <c r="S101" s="107"/>
      <c r="T101" s="107"/>
      <c r="U101" s="107"/>
      <c r="V101" s="107"/>
      <c r="W101" s="107"/>
      <c r="X101" s="107"/>
    </row>
    <row r="102" spans="16:24" ht="18.75">
      <c r="P102" s="107"/>
      <c r="Q102" s="107"/>
      <c r="R102" s="107"/>
      <c r="S102" s="107"/>
      <c r="T102" s="107"/>
      <c r="U102" s="107"/>
      <c r="V102" s="107"/>
      <c r="W102" s="107"/>
      <c r="X102" s="107"/>
    </row>
    <row r="103" spans="16:24" ht="18.75">
      <c r="P103" s="107"/>
      <c r="Q103" s="107"/>
      <c r="R103" s="107"/>
      <c r="S103" s="107"/>
      <c r="T103" s="107"/>
      <c r="U103" s="107"/>
      <c r="V103" s="107"/>
      <c r="W103" s="107"/>
      <c r="X103" s="107"/>
    </row>
    <row r="104" spans="16:24" ht="18.75">
      <c r="P104" s="107"/>
      <c r="Q104" s="107"/>
      <c r="R104" s="107"/>
      <c r="S104" s="107"/>
      <c r="T104" s="107"/>
      <c r="U104" s="107"/>
      <c r="V104" s="107"/>
      <c r="W104" s="107"/>
      <c r="X104" s="107"/>
    </row>
    <row r="105" spans="16:24" ht="18.75">
      <c r="P105" s="107"/>
      <c r="Q105" s="107"/>
      <c r="R105" s="107"/>
      <c r="S105" s="107"/>
      <c r="T105" s="107"/>
      <c r="U105" s="107"/>
      <c r="V105" s="107"/>
      <c r="W105" s="107"/>
      <c r="X105" s="107"/>
    </row>
    <row r="106" spans="16:24" ht="18.75">
      <c r="P106" s="107"/>
      <c r="Q106" s="107"/>
      <c r="R106" s="107"/>
      <c r="S106" s="107"/>
      <c r="T106" s="107"/>
      <c r="U106" s="107"/>
      <c r="V106" s="107"/>
      <c r="W106" s="107"/>
      <c r="X106" s="107"/>
    </row>
    <row r="107" spans="16:24" ht="18.75">
      <c r="P107" s="107"/>
      <c r="Q107" s="107"/>
      <c r="R107" s="107"/>
      <c r="S107" s="107"/>
      <c r="T107" s="107"/>
      <c r="U107" s="107"/>
      <c r="V107" s="107"/>
      <c r="W107" s="107"/>
      <c r="X107" s="107"/>
    </row>
    <row r="108" spans="16:24" ht="18.75">
      <c r="P108" s="107"/>
      <c r="Q108" s="107"/>
      <c r="R108" s="107"/>
      <c r="S108" s="107"/>
      <c r="T108" s="107"/>
      <c r="U108" s="107"/>
      <c r="V108" s="107"/>
      <c r="W108" s="107"/>
      <c r="X108" s="107"/>
    </row>
    <row r="109" spans="16:24" ht="18.75">
      <c r="P109" s="107"/>
      <c r="Q109" s="107"/>
      <c r="R109" s="107"/>
      <c r="S109" s="107"/>
      <c r="T109" s="107"/>
      <c r="U109" s="107"/>
      <c r="V109" s="107"/>
      <c r="W109" s="107"/>
      <c r="X109" s="107"/>
    </row>
    <row r="110" spans="16:24" ht="18.75">
      <c r="P110" s="107"/>
      <c r="Q110" s="107"/>
      <c r="R110" s="107"/>
      <c r="S110" s="107"/>
      <c r="T110" s="107"/>
      <c r="U110" s="107"/>
      <c r="V110" s="107"/>
      <c r="W110" s="107"/>
      <c r="X110" s="107"/>
    </row>
    <row r="111" spans="16:24" ht="18.75">
      <c r="P111" s="107"/>
      <c r="Q111" s="107"/>
      <c r="R111" s="107"/>
      <c r="S111" s="107"/>
      <c r="T111" s="107"/>
      <c r="U111" s="107"/>
      <c r="V111" s="107"/>
      <c r="W111" s="107"/>
      <c r="X111" s="107"/>
    </row>
    <row r="112" spans="16:24" ht="18.75">
      <c r="P112" s="107"/>
      <c r="Q112" s="107"/>
      <c r="R112" s="107"/>
      <c r="S112" s="107"/>
      <c r="T112" s="107"/>
      <c r="U112" s="107"/>
      <c r="V112" s="107"/>
      <c r="W112" s="107"/>
      <c r="X112" s="107"/>
    </row>
    <row r="113" spans="16:24" ht="18.75">
      <c r="P113" s="107"/>
      <c r="Q113" s="107"/>
      <c r="R113" s="107"/>
      <c r="S113" s="107"/>
      <c r="T113" s="107"/>
      <c r="U113" s="107"/>
      <c r="V113" s="107"/>
      <c r="W113" s="107"/>
      <c r="X113" s="107"/>
    </row>
    <row r="114" spans="16:24" ht="18.75">
      <c r="P114" s="107"/>
      <c r="Q114" s="107"/>
      <c r="R114" s="107"/>
      <c r="S114" s="107"/>
      <c r="T114" s="107"/>
      <c r="U114" s="107"/>
      <c r="V114" s="107"/>
      <c r="W114" s="107"/>
      <c r="X114" s="107"/>
    </row>
    <row r="115" spans="16:24" ht="18.75">
      <c r="P115" s="107"/>
      <c r="Q115" s="107"/>
      <c r="R115" s="107"/>
      <c r="S115" s="107"/>
      <c r="T115" s="107"/>
      <c r="U115" s="107"/>
      <c r="V115" s="107"/>
      <c r="W115" s="107"/>
      <c r="X115" s="107"/>
    </row>
    <row r="116" spans="16:24" ht="18.75">
      <c r="P116" s="107"/>
      <c r="Q116" s="107"/>
      <c r="R116" s="107"/>
      <c r="S116" s="107"/>
      <c r="T116" s="107"/>
      <c r="U116" s="107"/>
      <c r="V116" s="107"/>
      <c r="W116" s="107"/>
      <c r="X116" s="107"/>
    </row>
    <row r="117" spans="16:24" ht="18.75">
      <c r="P117" s="107"/>
      <c r="Q117" s="107"/>
      <c r="R117" s="107"/>
      <c r="S117" s="107"/>
      <c r="T117" s="107"/>
      <c r="U117" s="107"/>
      <c r="V117" s="107"/>
      <c r="W117" s="107"/>
      <c r="X117" s="107"/>
    </row>
    <row r="118" spans="16:24" ht="18.75">
      <c r="P118" s="107"/>
      <c r="Q118" s="107"/>
      <c r="R118" s="107"/>
      <c r="S118" s="107"/>
      <c r="T118" s="107"/>
      <c r="U118" s="107"/>
      <c r="V118" s="107"/>
      <c r="W118" s="107"/>
      <c r="X118" s="107"/>
    </row>
    <row r="119" spans="16:24" ht="18.75">
      <c r="P119" s="107"/>
      <c r="Q119" s="107"/>
      <c r="R119" s="107"/>
      <c r="S119" s="107"/>
      <c r="T119" s="107"/>
      <c r="U119" s="107"/>
      <c r="V119" s="107"/>
      <c r="W119" s="107"/>
      <c r="X119" s="107"/>
    </row>
    <row r="120" spans="16:24" ht="18.75">
      <c r="P120" s="107"/>
      <c r="Q120" s="107"/>
      <c r="R120" s="107"/>
      <c r="S120" s="107"/>
      <c r="T120" s="107"/>
      <c r="U120" s="107"/>
      <c r="V120" s="107"/>
      <c r="W120" s="107"/>
      <c r="X120" s="107"/>
    </row>
    <row r="121" spans="16:24" ht="18.75">
      <c r="P121" s="107"/>
      <c r="Q121" s="107"/>
      <c r="R121" s="107"/>
      <c r="S121" s="107"/>
      <c r="T121" s="107"/>
      <c r="U121" s="107"/>
      <c r="V121" s="107"/>
      <c r="W121" s="107"/>
      <c r="X121" s="107"/>
    </row>
    <row r="122" spans="16:24" ht="18.75">
      <c r="P122" s="107"/>
      <c r="Q122" s="107"/>
      <c r="R122" s="107"/>
      <c r="S122" s="107"/>
      <c r="T122" s="107"/>
      <c r="U122" s="107"/>
      <c r="V122" s="107"/>
      <c r="W122" s="107"/>
      <c r="X122" s="107"/>
    </row>
    <row r="123" spans="16:24" ht="18.75">
      <c r="P123" s="107"/>
      <c r="Q123" s="107"/>
      <c r="R123" s="107"/>
      <c r="S123" s="107"/>
      <c r="T123" s="107"/>
      <c r="U123" s="107"/>
      <c r="V123" s="107"/>
      <c r="W123" s="107"/>
      <c r="X123" s="107"/>
    </row>
    <row r="124" spans="16:24" ht="18.75">
      <c r="P124" s="107"/>
      <c r="Q124" s="107"/>
      <c r="R124" s="107"/>
      <c r="S124" s="107"/>
      <c r="T124" s="107"/>
      <c r="U124" s="107"/>
      <c r="V124" s="107"/>
      <c r="W124" s="107"/>
      <c r="X124" s="107"/>
    </row>
    <row r="125" spans="16:24" ht="18.75">
      <c r="P125" s="107"/>
      <c r="Q125" s="107"/>
      <c r="R125" s="107"/>
      <c r="S125" s="107"/>
      <c r="T125" s="107"/>
      <c r="U125" s="107"/>
      <c r="V125" s="107"/>
      <c r="W125" s="107"/>
      <c r="X125" s="107"/>
    </row>
    <row r="126" spans="16:24" ht="18.75">
      <c r="P126" s="107"/>
      <c r="Q126" s="107"/>
      <c r="R126" s="107"/>
      <c r="S126" s="107"/>
      <c r="T126" s="107"/>
      <c r="U126" s="107"/>
      <c r="V126" s="107"/>
      <c r="W126" s="107"/>
      <c r="X126" s="107"/>
    </row>
    <row r="127" spans="16:24" ht="18.75">
      <c r="P127" s="107"/>
      <c r="Q127" s="107"/>
      <c r="R127" s="107"/>
      <c r="S127" s="107"/>
      <c r="T127" s="107"/>
      <c r="U127" s="107"/>
      <c r="V127" s="107"/>
      <c r="W127" s="107"/>
      <c r="X127" s="107"/>
    </row>
    <row r="128" spans="16:24" ht="18.75">
      <c r="P128" s="107"/>
      <c r="Q128" s="107"/>
      <c r="R128" s="107"/>
      <c r="S128" s="107"/>
      <c r="T128" s="107"/>
      <c r="U128" s="107"/>
      <c r="V128" s="107"/>
      <c r="W128" s="107"/>
      <c r="X128" s="107"/>
    </row>
    <row r="129" spans="16:24" ht="18.75">
      <c r="P129" s="107"/>
      <c r="Q129" s="107"/>
      <c r="R129" s="107"/>
      <c r="S129" s="107"/>
      <c r="T129" s="107"/>
      <c r="U129" s="107"/>
      <c r="V129" s="107"/>
      <c r="W129" s="107"/>
      <c r="X129" s="107"/>
    </row>
    <row r="130" spans="16:24" ht="18.75">
      <c r="P130" s="107"/>
      <c r="Q130" s="107"/>
      <c r="R130" s="107"/>
      <c r="S130" s="107"/>
      <c r="T130" s="107"/>
      <c r="U130" s="107"/>
      <c r="V130" s="107"/>
      <c r="W130" s="107"/>
      <c r="X130" s="107"/>
    </row>
    <row r="131" spans="16:24" ht="18.75">
      <c r="P131" s="107"/>
      <c r="Q131" s="107"/>
      <c r="R131" s="107"/>
      <c r="S131" s="107"/>
      <c r="T131" s="107"/>
      <c r="U131" s="107"/>
      <c r="V131" s="107"/>
      <c r="W131" s="107"/>
      <c r="X131" s="107"/>
    </row>
    <row r="132" spans="16:24" ht="18.75">
      <c r="P132" s="107"/>
      <c r="Q132" s="107"/>
      <c r="R132" s="107"/>
      <c r="S132" s="107"/>
      <c r="T132" s="107"/>
      <c r="U132" s="107"/>
      <c r="V132" s="107"/>
      <c r="W132" s="107"/>
      <c r="X132" s="107"/>
    </row>
    <row r="133" spans="16:24" ht="18.75">
      <c r="P133" s="107"/>
      <c r="Q133" s="107"/>
      <c r="R133" s="107"/>
      <c r="S133" s="107"/>
      <c r="T133" s="107"/>
      <c r="U133" s="107"/>
      <c r="V133" s="107"/>
      <c r="W133" s="107"/>
      <c r="X133" s="107"/>
    </row>
    <row r="134" spans="16:24" ht="18.75">
      <c r="P134" s="107"/>
      <c r="Q134" s="107"/>
      <c r="R134" s="107"/>
      <c r="S134" s="107"/>
      <c r="T134" s="107"/>
      <c r="U134" s="107"/>
      <c r="V134" s="107"/>
      <c r="W134" s="107"/>
      <c r="X134" s="107"/>
    </row>
    <row r="135" spans="16:24" ht="18.75">
      <c r="P135" s="107"/>
      <c r="Q135" s="107"/>
      <c r="R135" s="107"/>
      <c r="S135" s="107"/>
      <c r="T135" s="107"/>
      <c r="U135" s="107"/>
      <c r="V135" s="107"/>
      <c r="W135" s="107"/>
      <c r="X135" s="107"/>
    </row>
    <row r="136" spans="16:24" ht="18.75">
      <c r="P136" s="107"/>
      <c r="Q136" s="107"/>
      <c r="R136" s="107"/>
      <c r="S136" s="107"/>
      <c r="T136" s="107"/>
      <c r="U136" s="107"/>
      <c r="V136" s="107"/>
      <c r="W136" s="107"/>
      <c r="X136" s="107"/>
    </row>
    <row r="137" spans="16:24" ht="18.75">
      <c r="P137" s="107"/>
      <c r="Q137" s="107"/>
      <c r="R137" s="107"/>
      <c r="S137" s="107"/>
      <c r="T137" s="107"/>
      <c r="U137" s="107"/>
      <c r="V137" s="107"/>
      <c r="W137" s="107"/>
      <c r="X137" s="107"/>
    </row>
    <row r="138" spans="16:24" ht="18.75">
      <c r="P138" s="107"/>
      <c r="Q138" s="107"/>
      <c r="R138" s="107"/>
      <c r="S138" s="107"/>
      <c r="T138" s="107"/>
      <c r="U138" s="107"/>
      <c r="V138" s="107"/>
      <c r="W138" s="107"/>
      <c r="X138" s="107"/>
    </row>
    <row r="139" spans="16:24" ht="18.75">
      <c r="P139" s="107"/>
      <c r="Q139" s="107"/>
      <c r="R139" s="107"/>
      <c r="S139" s="107"/>
      <c r="T139" s="107"/>
      <c r="U139" s="107"/>
      <c r="V139" s="107"/>
      <c r="W139" s="107"/>
      <c r="X139" s="107"/>
    </row>
    <row r="140" spans="16:24" ht="18.75">
      <c r="P140" s="107"/>
      <c r="Q140" s="107"/>
      <c r="R140" s="107"/>
      <c r="S140" s="107"/>
      <c r="T140" s="107"/>
      <c r="U140" s="107"/>
      <c r="V140" s="107"/>
      <c r="W140" s="107"/>
      <c r="X140" s="107"/>
    </row>
    <row r="141" spans="16:24" ht="18.75">
      <c r="P141" s="107"/>
      <c r="Q141" s="107"/>
      <c r="R141" s="107"/>
      <c r="S141" s="107"/>
      <c r="T141" s="107"/>
      <c r="U141" s="107"/>
      <c r="V141" s="107"/>
      <c r="W141" s="107"/>
      <c r="X141" s="107"/>
    </row>
    <row r="142" spans="16:24" ht="18.75">
      <c r="P142" s="107"/>
      <c r="Q142" s="107"/>
      <c r="R142" s="107"/>
      <c r="S142" s="107"/>
      <c r="T142" s="107"/>
      <c r="U142" s="107"/>
      <c r="V142" s="107"/>
      <c r="W142" s="107"/>
      <c r="X142" s="107"/>
    </row>
    <row r="143" spans="16:24" ht="18.75">
      <c r="P143" s="107"/>
      <c r="Q143" s="107"/>
      <c r="R143" s="107"/>
      <c r="S143" s="107"/>
      <c r="T143" s="107"/>
      <c r="U143" s="107"/>
      <c r="V143" s="107"/>
      <c r="W143" s="107"/>
      <c r="X143" s="107"/>
    </row>
    <row r="144" spans="16:24" ht="18.75">
      <c r="P144" s="107"/>
      <c r="Q144" s="107"/>
      <c r="R144" s="107"/>
      <c r="S144" s="107"/>
      <c r="T144" s="107"/>
      <c r="U144" s="107"/>
      <c r="V144" s="107"/>
      <c r="W144" s="107"/>
      <c r="X144" s="107"/>
    </row>
    <row r="145" spans="16:24" ht="18.75">
      <c r="P145" s="107"/>
      <c r="Q145" s="107"/>
      <c r="R145" s="107"/>
      <c r="S145" s="107"/>
      <c r="T145" s="107"/>
      <c r="U145" s="107"/>
      <c r="V145" s="107"/>
      <c r="W145" s="107"/>
      <c r="X145" s="107"/>
    </row>
    <row r="146" spans="16:24" ht="18.75">
      <c r="P146" s="107"/>
      <c r="Q146" s="107"/>
      <c r="R146" s="107"/>
      <c r="S146" s="107"/>
      <c r="T146" s="107"/>
      <c r="U146" s="107"/>
      <c r="V146" s="107"/>
      <c r="W146" s="107"/>
      <c r="X146" s="107"/>
    </row>
    <row r="147" spans="16:24" ht="18.75">
      <c r="P147" s="107"/>
      <c r="Q147" s="107"/>
      <c r="R147" s="107"/>
      <c r="S147" s="107"/>
      <c r="T147" s="107"/>
      <c r="U147" s="107"/>
      <c r="V147" s="107"/>
      <c r="W147" s="107"/>
      <c r="X147" s="107"/>
    </row>
    <row r="148" spans="16:24" ht="18.75">
      <c r="P148" s="107"/>
      <c r="Q148" s="107"/>
      <c r="R148" s="107"/>
      <c r="S148" s="107"/>
      <c r="T148" s="107"/>
      <c r="U148" s="107"/>
      <c r="V148" s="107"/>
      <c r="W148" s="107"/>
      <c r="X148" s="107"/>
    </row>
    <row r="149" spans="16:24" ht="18.75">
      <c r="P149" s="107"/>
      <c r="Q149" s="107"/>
      <c r="R149" s="107"/>
      <c r="S149" s="107"/>
      <c r="T149" s="107"/>
      <c r="U149" s="107"/>
      <c r="V149" s="107"/>
      <c r="W149" s="107"/>
      <c r="X149" s="107"/>
    </row>
    <row r="150" spans="16:24" ht="18.75">
      <c r="P150" s="107"/>
      <c r="Q150" s="107"/>
      <c r="R150" s="107"/>
      <c r="S150" s="107"/>
      <c r="T150" s="107"/>
      <c r="U150" s="107"/>
      <c r="V150" s="107"/>
      <c r="W150" s="107"/>
      <c r="X150" s="107"/>
    </row>
    <row r="151" spans="16:24" ht="18.75">
      <c r="P151" s="107"/>
      <c r="Q151" s="107"/>
      <c r="R151" s="107"/>
      <c r="S151" s="107"/>
      <c r="T151" s="107"/>
      <c r="U151" s="107"/>
      <c r="V151" s="107"/>
      <c r="W151" s="107"/>
      <c r="X151" s="107"/>
    </row>
    <row r="152" spans="16:24" ht="18.75">
      <c r="P152" s="107"/>
      <c r="Q152" s="107"/>
      <c r="R152" s="107"/>
      <c r="S152" s="107"/>
      <c r="T152" s="107"/>
      <c r="U152" s="107"/>
      <c r="V152" s="107"/>
      <c r="W152" s="107"/>
      <c r="X152" s="107"/>
    </row>
    <row r="153" spans="16:24" ht="18.75">
      <c r="P153" s="107"/>
      <c r="Q153" s="107"/>
      <c r="R153" s="107"/>
      <c r="S153" s="107"/>
      <c r="T153" s="107"/>
      <c r="U153" s="107"/>
      <c r="V153" s="107"/>
      <c r="W153" s="107"/>
      <c r="X153" s="107"/>
    </row>
    <row r="154" spans="16:24" ht="18.75">
      <c r="P154" s="107"/>
      <c r="Q154" s="107"/>
      <c r="R154" s="107"/>
      <c r="S154" s="107"/>
      <c r="T154" s="107"/>
      <c r="U154" s="107"/>
      <c r="V154" s="107"/>
      <c r="W154" s="107"/>
      <c r="X154" s="107"/>
    </row>
    <row r="155" spans="16:24" ht="18.75">
      <c r="P155" s="107"/>
      <c r="Q155" s="107"/>
      <c r="R155" s="107"/>
      <c r="S155" s="107"/>
      <c r="T155" s="107"/>
      <c r="U155" s="107"/>
      <c r="V155" s="107"/>
      <c r="W155" s="107"/>
      <c r="X155" s="107"/>
    </row>
    <row r="156" spans="16:24" ht="18.75">
      <c r="P156" s="107"/>
      <c r="Q156" s="107"/>
      <c r="R156" s="107"/>
      <c r="S156" s="107"/>
      <c r="T156" s="107"/>
      <c r="U156" s="107"/>
      <c r="V156" s="107"/>
      <c r="W156" s="107"/>
      <c r="X156" s="107"/>
    </row>
    <row r="157" spans="16:24" ht="18.75">
      <c r="P157" s="107"/>
      <c r="Q157" s="107"/>
      <c r="R157" s="107"/>
      <c r="S157" s="107"/>
      <c r="T157" s="107"/>
      <c r="U157" s="107"/>
      <c r="V157" s="107"/>
      <c r="W157" s="107"/>
      <c r="X157" s="107"/>
    </row>
    <row r="158" spans="16:24" ht="18.75">
      <c r="P158" s="107"/>
      <c r="Q158" s="107"/>
      <c r="R158" s="107"/>
      <c r="S158" s="107"/>
      <c r="T158" s="107"/>
      <c r="U158" s="107"/>
      <c r="V158" s="107"/>
      <c r="W158" s="107"/>
      <c r="X158" s="107"/>
    </row>
    <row r="159" spans="16:24" ht="18.75">
      <c r="P159" s="107"/>
      <c r="Q159" s="107"/>
      <c r="R159" s="107"/>
      <c r="S159" s="107"/>
      <c r="T159" s="107"/>
      <c r="U159" s="107"/>
      <c r="V159" s="107"/>
      <c r="W159" s="107"/>
      <c r="X159" s="107"/>
    </row>
    <row r="160" spans="16:24" ht="18.75">
      <c r="P160" s="107"/>
      <c r="Q160" s="107"/>
      <c r="R160" s="107"/>
      <c r="S160" s="107"/>
      <c r="T160" s="107"/>
      <c r="U160" s="107"/>
      <c r="V160" s="107"/>
      <c r="W160" s="107"/>
      <c r="X160" s="107"/>
    </row>
    <row r="161" spans="16:24" ht="18.75">
      <c r="P161" s="107"/>
      <c r="Q161" s="107"/>
      <c r="R161" s="107"/>
      <c r="S161" s="107"/>
      <c r="T161" s="107"/>
      <c r="U161" s="107"/>
      <c r="V161" s="107"/>
      <c r="W161" s="107"/>
      <c r="X161" s="107"/>
    </row>
    <row r="162" spans="16:24" ht="18.75">
      <c r="P162" s="107"/>
      <c r="Q162" s="107"/>
      <c r="R162" s="107"/>
      <c r="S162" s="107"/>
      <c r="T162" s="107"/>
      <c r="U162" s="107"/>
      <c r="V162" s="107"/>
      <c r="W162" s="107"/>
      <c r="X162" s="107"/>
    </row>
    <row r="163" spans="16:24" ht="18.75">
      <c r="P163" s="107"/>
      <c r="Q163" s="107"/>
      <c r="R163" s="107"/>
      <c r="S163" s="107"/>
      <c r="T163" s="107"/>
      <c r="U163" s="107"/>
      <c r="V163" s="107"/>
      <c r="W163" s="107"/>
      <c r="X163" s="107"/>
    </row>
    <row r="164" spans="16:24" ht="18.75">
      <c r="P164" s="107"/>
      <c r="Q164" s="107"/>
      <c r="R164" s="107"/>
      <c r="S164" s="107"/>
      <c r="T164" s="107"/>
      <c r="U164" s="107"/>
      <c r="V164" s="107"/>
      <c r="W164" s="107"/>
      <c r="X164" s="107"/>
    </row>
    <row r="165" spans="16:24" ht="18.75">
      <c r="P165" s="107"/>
      <c r="Q165" s="107"/>
      <c r="R165" s="107"/>
      <c r="S165" s="107"/>
      <c r="T165" s="107"/>
      <c r="U165" s="107"/>
      <c r="V165" s="107"/>
      <c r="W165" s="107"/>
      <c r="X165" s="107"/>
    </row>
    <row r="166" spans="16:24" ht="18.75">
      <c r="P166" s="107"/>
      <c r="Q166" s="107"/>
      <c r="R166" s="107"/>
      <c r="S166" s="107"/>
      <c r="T166" s="107"/>
      <c r="U166" s="107"/>
      <c r="V166" s="107"/>
      <c r="W166" s="107"/>
      <c r="X166" s="107"/>
    </row>
    <row r="167" spans="16:24" ht="18.75">
      <c r="P167" s="107"/>
      <c r="Q167" s="107"/>
      <c r="R167" s="107"/>
      <c r="S167" s="107"/>
      <c r="T167" s="107"/>
      <c r="U167" s="107"/>
      <c r="V167" s="107"/>
      <c r="W167" s="107"/>
      <c r="X167" s="107"/>
    </row>
    <row r="168" spans="16:24" ht="18.75">
      <c r="P168" s="107"/>
      <c r="Q168" s="107"/>
      <c r="R168" s="107"/>
      <c r="S168" s="107"/>
      <c r="T168" s="107"/>
      <c r="U168" s="107"/>
      <c r="V168" s="107"/>
      <c r="W168" s="107"/>
      <c r="X168" s="107"/>
    </row>
    <row r="169" spans="16:24" ht="18.75">
      <c r="P169" s="109"/>
      <c r="Q169" s="109"/>
      <c r="R169" s="109"/>
      <c r="S169" s="109"/>
      <c r="T169" s="109"/>
      <c r="U169" s="109"/>
      <c r="V169" s="109"/>
      <c r="W169" s="109"/>
      <c r="X169" s="109"/>
    </row>
  </sheetData>
  <sheetProtection formatCells="0" formatColumns="0" formatRows="0" insertRows="0" deleteRows="0" autoFilter="0"/>
  <mergeCells count="31">
    <mergeCell ref="D61:E61"/>
    <mergeCell ref="D20:E20"/>
    <mergeCell ref="D14:E14"/>
    <mergeCell ref="D25:E25"/>
    <mergeCell ref="D35:E35"/>
    <mergeCell ref="N5:N8"/>
    <mergeCell ref="M6:M8"/>
    <mergeCell ref="B1:T1"/>
    <mergeCell ref="A4:T4"/>
    <mergeCell ref="E2:N2"/>
    <mergeCell ref="A3:W3"/>
    <mergeCell ref="V5:X7"/>
    <mergeCell ref="B5:B8"/>
    <mergeCell ref="T5:U7"/>
    <mergeCell ref="A5:A8"/>
    <mergeCell ref="H5:H8"/>
    <mergeCell ref="R6:S7"/>
    <mergeCell ref="O5:S5"/>
    <mergeCell ref="O6:O8"/>
    <mergeCell ref="J5:J8"/>
    <mergeCell ref="K5:K8"/>
    <mergeCell ref="I5:I8"/>
    <mergeCell ref="L5:M5"/>
    <mergeCell ref="L6:L8"/>
    <mergeCell ref="P6:Q7"/>
    <mergeCell ref="C5:C8"/>
    <mergeCell ref="D5:D8"/>
    <mergeCell ref="E5:E8"/>
    <mergeCell ref="F5:F8"/>
    <mergeCell ref="G5:G8"/>
    <mergeCell ref="D55:E5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Z11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:P4"/>
    </sheetView>
  </sheetViews>
  <sheetFormatPr defaultColWidth="9.140625" defaultRowHeight="15"/>
  <cols>
    <col min="1" max="1" width="4.140625" style="1" customWidth="1"/>
    <col min="2" max="2" width="15.7109375" style="1" customWidth="1"/>
    <col min="3" max="3" width="13.421875" style="1" customWidth="1"/>
    <col min="4" max="4" width="13.8515625" style="1" customWidth="1"/>
    <col min="5" max="5" width="18.7109375" style="1" customWidth="1"/>
    <col min="6" max="6" width="13.57421875" style="1" customWidth="1"/>
    <col min="7" max="7" width="9.8515625" style="1" customWidth="1"/>
    <col min="8" max="8" width="12.8515625" style="1" customWidth="1"/>
    <col min="9" max="9" width="8.00390625" style="1" customWidth="1"/>
    <col min="10" max="10" width="10.140625" style="1" customWidth="1"/>
    <col min="11" max="12" width="9.140625" style="1" customWidth="1"/>
    <col min="13" max="13" width="8.7109375" style="1" customWidth="1"/>
    <col min="14" max="14" width="13.7109375" style="1" customWidth="1"/>
    <col min="15" max="15" width="10.57421875" style="1" customWidth="1"/>
    <col min="16" max="16" width="12.00390625" style="1" customWidth="1"/>
    <col min="17" max="17" width="10.28125" style="1" customWidth="1"/>
    <col min="18" max="18" width="12.421875" style="1" customWidth="1"/>
    <col min="19" max="19" width="10.7109375" style="1" customWidth="1"/>
    <col min="20" max="16384" width="9.140625" style="1" customWidth="1"/>
  </cols>
  <sheetData>
    <row r="1" spans="2:18" ht="18" customHeight="1">
      <c r="B1" s="214" t="s">
        <v>211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2:17" ht="18" customHeight="1">
      <c r="B2" s="100"/>
      <c r="C2" s="127"/>
      <c r="D2" s="127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107"/>
      <c r="P2" s="107"/>
      <c r="Q2" s="107"/>
    </row>
    <row r="3" spans="1:20" ht="23.25" customHeight="1">
      <c r="A3" s="181" t="s">
        <v>206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6" s="81" customFormat="1" ht="18.75" customHeight="1">
      <c r="A4" s="180" t="s">
        <v>215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T4" s="134"/>
      <c r="U4" s="134"/>
      <c r="V4" s="134"/>
      <c r="W4" s="134"/>
      <c r="X4" s="134"/>
      <c r="Y4" s="134"/>
      <c r="Z4" s="134"/>
    </row>
    <row r="5" spans="1:24" s="21" customFormat="1" ht="26.25" customHeight="1">
      <c r="A5" s="216" t="s">
        <v>1</v>
      </c>
      <c r="B5" s="216" t="s">
        <v>107</v>
      </c>
      <c r="C5" s="216" t="s">
        <v>108</v>
      </c>
      <c r="D5" s="216" t="s">
        <v>175</v>
      </c>
      <c r="E5" s="216" t="s">
        <v>187</v>
      </c>
      <c r="F5" s="216" t="s">
        <v>109</v>
      </c>
      <c r="G5" s="216" t="s">
        <v>2</v>
      </c>
      <c r="H5" s="216" t="s">
        <v>110</v>
      </c>
      <c r="I5" s="182" t="s">
        <v>4</v>
      </c>
      <c r="J5" s="182"/>
      <c r="K5" s="192" t="s">
        <v>183</v>
      </c>
      <c r="L5" s="205" t="s">
        <v>184</v>
      </c>
      <c r="M5" s="205"/>
      <c r="N5" s="205"/>
      <c r="O5" s="205"/>
      <c r="P5" s="205"/>
      <c r="Q5" s="205"/>
      <c r="R5" s="205" t="s">
        <v>185</v>
      </c>
      <c r="S5" s="205"/>
      <c r="T5" s="222" t="s">
        <v>209</v>
      </c>
      <c r="U5" s="223"/>
      <c r="V5" s="223"/>
      <c r="W5" s="223"/>
      <c r="X5" s="223"/>
    </row>
    <row r="6" spans="1:24" s="21" customFormat="1" ht="39" customHeight="1">
      <c r="A6" s="183"/>
      <c r="B6" s="183"/>
      <c r="C6" s="183"/>
      <c r="D6" s="183"/>
      <c r="E6" s="183"/>
      <c r="F6" s="183"/>
      <c r="G6" s="183"/>
      <c r="H6" s="183"/>
      <c r="I6" s="221" t="s">
        <v>5</v>
      </c>
      <c r="J6" s="221" t="s">
        <v>111</v>
      </c>
      <c r="K6" s="189"/>
      <c r="L6" s="216" t="s">
        <v>7</v>
      </c>
      <c r="M6" s="216" t="s">
        <v>112</v>
      </c>
      <c r="N6" s="216" t="s">
        <v>186</v>
      </c>
      <c r="O6" s="205" t="s">
        <v>115</v>
      </c>
      <c r="P6" s="205"/>
      <c r="Q6" s="206" t="s">
        <v>116</v>
      </c>
      <c r="R6" s="205" t="s">
        <v>117</v>
      </c>
      <c r="S6" s="206" t="s">
        <v>118</v>
      </c>
      <c r="T6" s="200" t="s">
        <v>202</v>
      </c>
      <c r="U6" s="200" t="s">
        <v>204</v>
      </c>
      <c r="V6" s="200" t="s">
        <v>205</v>
      </c>
      <c r="W6" s="219" t="s">
        <v>213</v>
      </c>
      <c r="X6" s="219" t="s">
        <v>203</v>
      </c>
    </row>
    <row r="7" spans="1:24" s="21" customFormat="1" ht="39" customHeight="1">
      <c r="A7" s="177"/>
      <c r="B7" s="177"/>
      <c r="C7" s="177"/>
      <c r="D7" s="177"/>
      <c r="E7" s="177"/>
      <c r="F7" s="177"/>
      <c r="G7" s="177"/>
      <c r="H7" s="177"/>
      <c r="I7" s="221"/>
      <c r="J7" s="221"/>
      <c r="K7" s="190"/>
      <c r="L7" s="177"/>
      <c r="M7" s="177"/>
      <c r="N7" s="177"/>
      <c r="O7" s="37" t="s">
        <v>113</v>
      </c>
      <c r="P7" s="38" t="s">
        <v>114</v>
      </c>
      <c r="Q7" s="208"/>
      <c r="R7" s="205"/>
      <c r="S7" s="208"/>
      <c r="T7" s="202"/>
      <c r="U7" s="202"/>
      <c r="V7" s="202"/>
      <c r="W7" s="220"/>
      <c r="X7" s="220"/>
    </row>
    <row r="8" spans="1:24" s="21" customFormat="1" ht="18.75">
      <c r="A8" s="13">
        <v>1</v>
      </c>
      <c r="B8" s="49">
        <v>2</v>
      </c>
      <c r="C8" s="13">
        <v>3</v>
      </c>
      <c r="D8" s="49">
        <v>4</v>
      </c>
      <c r="E8" s="13">
        <v>5</v>
      </c>
      <c r="F8" s="49">
        <v>6</v>
      </c>
      <c r="G8" s="13">
        <v>7</v>
      </c>
      <c r="H8" s="49">
        <v>8</v>
      </c>
      <c r="I8" s="13">
        <v>9</v>
      </c>
      <c r="J8" s="49">
        <v>10</v>
      </c>
      <c r="K8" s="13">
        <v>11</v>
      </c>
      <c r="L8" s="49">
        <v>12</v>
      </c>
      <c r="M8" s="13">
        <v>13</v>
      </c>
      <c r="N8" s="49">
        <v>14</v>
      </c>
      <c r="O8" s="13">
        <v>15</v>
      </c>
      <c r="P8" s="49">
        <v>16</v>
      </c>
      <c r="Q8" s="13">
        <v>17</v>
      </c>
      <c r="R8" s="49">
        <v>18</v>
      </c>
      <c r="S8" s="13">
        <v>19</v>
      </c>
      <c r="T8" s="13">
        <v>20</v>
      </c>
      <c r="U8" s="13">
        <v>21</v>
      </c>
      <c r="V8" s="13">
        <v>22</v>
      </c>
      <c r="W8" s="13">
        <v>23</v>
      </c>
      <c r="X8" s="13">
        <v>24</v>
      </c>
    </row>
    <row r="9" spans="1:19" s="69" customFormat="1" ht="18.75">
      <c r="A9" s="45"/>
      <c r="B9" s="45"/>
      <c r="C9" s="45"/>
      <c r="D9" s="45"/>
      <c r="E9" s="45"/>
      <c r="F9" s="45"/>
      <c r="G9" s="45"/>
      <c r="H9" s="45"/>
      <c r="I9" s="45"/>
      <c r="J9" s="45"/>
      <c r="K9" s="47"/>
      <c r="L9" s="47"/>
      <c r="M9" s="47"/>
      <c r="N9" s="47"/>
      <c r="O9" s="47"/>
      <c r="P9" s="47"/>
      <c r="Q9" s="47"/>
      <c r="R9" s="47"/>
      <c r="S9" s="47"/>
    </row>
    <row r="10" spans="1:19" s="69" customFormat="1" ht="18.75">
      <c r="A10" s="45"/>
      <c r="B10" s="46"/>
      <c r="C10" s="46"/>
      <c r="D10" s="46"/>
      <c r="E10" s="45"/>
      <c r="F10" s="45"/>
      <c r="G10" s="45"/>
      <c r="H10" s="45"/>
      <c r="I10" s="45"/>
      <c r="J10" s="48"/>
      <c r="K10" s="47"/>
      <c r="L10" s="47"/>
      <c r="M10" s="47"/>
      <c r="N10" s="47"/>
      <c r="O10" s="47"/>
      <c r="P10" s="47"/>
      <c r="Q10" s="47"/>
      <c r="R10" s="47"/>
      <c r="S10" s="47"/>
    </row>
    <row r="11" spans="1:24" s="50" customFormat="1" ht="18.75">
      <c r="A11" s="63"/>
      <c r="B11" s="23" t="s">
        <v>104</v>
      </c>
      <c r="C11" s="63">
        <f>COUNTIF(B9:B10,"*")</f>
        <v>0</v>
      </c>
      <c r="D11" s="63"/>
      <c r="E11" s="63"/>
      <c r="F11" s="63"/>
      <c r="G11" s="63"/>
      <c r="H11" s="63">
        <f>SUM(H9:H10)</f>
        <v>0</v>
      </c>
      <c r="I11" s="63">
        <f>SUM(I9:I10)</f>
        <v>0</v>
      </c>
      <c r="J11" s="63">
        <f>SUM(J9:J10)</f>
        <v>0</v>
      </c>
      <c r="K11" s="63"/>
      <c r="L11" s="63">
        <f aca="true" t="shared" si="0" ref="L11:R11">SUM(L9:L10)</f>
        <v>0</v>
      </c>
      <c r="M11" s="63">
        <f t="shared" si="0"/>
        <v>0</v>
      </c>
      <c r="N11" s="63">
        <f t="shared" si="0"/>
        <v>0</v>
      </c>
      <c r="O11" s="63">
        <f t="shared" si="0"/>
        <v>0</v>
      </c>
      <c r="P11" s="63">
        <f t="shared" si="0"/>
        <v>0</v>
      </c>
      <c r="Q11" s="63">
        <f t="shared" si="0"/>
        <v>0</v>
      </c>
      <c r="R11" s="63">
        <f t="shared" si="0"/>
        <v>0</v>
      </c>
      <c r="S11" s="63">
        <v>0</v>
      </c>
      <c r="T11" s="63">
        <f>SUM(T9:T10)</f>
        <v>0</v>
      </c>
      <c r="U11" s="63">
        <f>SUM(U9:U10)</f>
        <v>0</v>
      </c>
      <c r="V11" s="63">
        <f>SUM(V9:V10)</f>
        <v>0</v>
      </c>
      <c r="W11" s="63">
        <f>SUM(W9:W10)</f>
        <v>0</v>
      </c>
      <c r="X11" s="63">
        <f>SUM(X9:X10)</f>
        <v>0</v>
      </c>
    </row>
  </sheetData>
  <sheetProtection formatCells="0" formatColumns="0" formatRows="0" insertRows="0" deleteRows="0"/>
  <mergeCells count="31">
    <mergeCell ref="O6:P6"/>
    <mergeCell ref="E5:E7"/>
    <mergeCell ref="B5:B7"/>
    <mergeCell ref="G5:G7"/>
    <mergeCell ref="F5:F7"/>
    <mergeCell ref="I5:J5"/>
    <mergeCell ref="B1:R1"/>
    <mergeCell ref="E2:N2"/>
    <mergeCell ref="A3:T3"/>
    <mergeCell ref="A4:P4"/>
    <mergeCell ref="A5:A7"/>
    <mergeCell ref="H5:H7"/>
    <mergeCell ref="C5:C7"/>
    <mergeCell ref="R6:R7"/>
    <mergeCell ref="S6:S7"/>
    <mergeCell ref="D5:D7"/>
    <mergeCell ref="X6:X7"/>
    <mergeCell ref="T5:X5"/>
    <mergeCell ref="L5:Q5"/>
    <mergeCell ref="Q6:Q7"/>
    <mergeCell ref="T6:T7"/>
    <mergeCell ref="W6:W7"/>
    <mergeCell ref="K5:K7"/>
    <mergeCell ref="I6:I7"/>
    <mergeCell ref="J6:J7"/>
    <mergeCell ref="N6:N7"/>
    <mergeCell ref="V6:V7"/>
    <mergeCell ref="M6:M7"/>
    <mergeCell ref="R5:S5"/>
    <mergeCell ref="L6:L7"/>
    <mergeCell ref="U6:U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3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9" sqref="J9"/>
    </sheetView>
  </sheetViews>
  <sheetFormatPr defaultColWidth="9.140625" defaultRowHeight="15"/>
  <cols>
    <col min="1" max="1" width="4.140625" style="3" customWidth="1"/>
    <col min="2" max="2" width="15.7109375" style="3" customWidth="1"/>
    <col min="3" max="3" width="13.421875" style="3" customWidth="1"/>
    <col min="4" max="4" width="13.8515625" style="3" customWidth="1"/>
    <col min="5" max="5" width="14.28125" style="3" customWidth="1"/>
    <col min="6" max="7" width="13.28125" style="3" customWidth="1"/>
    <col min="8" max="8" width="14.28125" style="3" customWidth="1"/>
    <col min="9" max="9" width="7.57421875" style="3" customWidth="1"/>
    <col min="10" max="10" width="7.140625" style="3" customWidth="1"/>
    <col min="11" max="11" width="8.00390625" style="3" customWidth="1"/>
    <col min="12" max="12" width="10.140625" style="3" customWidth="1"/>
    <col min="13" max="13" width="9.140625" style="3" customWidth="1"/>
    <col min="14" max="14" width="8.7109375" style="3" customWidth="1"/>
    <col min="15" max="15" width="13.7109375" style="3" customWidth="1"/>
    <col min="16" max="16" width="10.57421875" style="3" customWidth="1"/>
    <col min="17" max="17" width="12.00390625" style="3" customWidth="1"/>
    <col min="18" max="18" width="10.7109375" style="3" customWidth="1"/>
    <col min="19" max="19" width="12.421875" style="3" customWidth="1"/>
    <col min="20" max="20" width="10.7109375" style="3" customWidth="1"/>
    <col min="21" max="22" width="9.140625" style="3" customWidth="1"/>
    <col min="23" max="23" width="19.7109375" style="3" customWidth="1"/>
    <col min="24" max="16384" width="9.140625" style="3" customWidth="1"/>
  </cols>
  <sheetData>
    <row r="1" spans="2:18" s="1" customFormat="1" ht="18" customHeight="1">
      <c r="B1" s="214" t="s">
        <v>926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2:17" s="1" customFormat="1" ht="18" customHeight="1">
      <c r="B2" s="100"/>
      <c r="C2" s="127"/>
      <c r="D2" s="127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107"/>
    </row>
    <row r="3" spans="1:20" s="1" customFormat="1" ht="23.25" customHeight="1">
      <c r="A3" s="181" t="s">
        <v>206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1" s="1" customFormat="1" ht="18.75" customHeight="1">
      <c r="A4" s="180" t="s">
        <v>216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81"/>
      <c r="T4" s="81"/>
      <c r="U4" s="134"/>
    </row>
    <row r="5" spans="1:24" ht="26.25" customHeight="1">
      <c r="A5" s="216" t="s">
        <v>1</v>
      </c>
      <c r="B5" s="216" t="s">
        <v>171</v>
      </c>
      <c r="C5" s="216" t="s">
        <v>119</v>
      </c>
      <c r="D5" s="216" t="s">
        <v>122</v>
      </c>
      <c r="E5" s="216" t="s">
        <v>120</v>
      </c>
      <c r="F5" s="216" t="s">
        <v>121</v>
      </c>
      <c r="G5" s="216" t="s">
        <v>174</v>
      </c>
      <c r="H5" s="216" t="s">
        <v>123</v>
      </c>
      <c r="I5" s="216" t="s">
        <v>2</v>
      </c>
      <c r="J5" s="216" t="s">
        <v>110</v>
      </c>
      <c r="K5" s="182" t="s">
        <v>4</v>
      </c>
      <c r="L5" s="182"/>
      <c r="M5" s="205" t="s">
        <v>184</v>
      </c>
      <c r="N5" s="205"/>
      <c r="O5" s="205"/>
      <c r="P5" s="205"/>
      <c r="Q5" s="205"/>
      <c r="R5" s="205"/>
      <c r="S5" s="224" t="s">
        <v>185</v>
      </c>
      <c r="T5" s="225"/>
      <c r="U5" s="182" t="s">
        <v>209</v>
      </c>
      <c r="V5" s="182"/>
      <c r="W5" s="182"/>
      <c r="X5" s="182"/>
    </row>
    <row r="6" spans="1:24" ht="39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221" t="s">
        <v>5</v>
      </c>
      <c r="L6" s="221" t="s">
        <v>111</v>
      </c>
      <c r="M6" s="216" t="s">
        <v>7</v>
      </c>
      <c r="N6" s="216" t="s">
        <v>112</v>
      </c>
      <c r="O6" s="216" t="s">
        <v>186</v>
      </c>
      <c r="P6" s="205" t="s">
        <v>115</v>
      </c>
      <c r="Q6" s="205"/>
      <c r="R6" s="206" t="s">
        <v>116</v>
      </c>
      <c r="S6" s="205" t="s">
        <v>117</v>
      </c>
      <c r="T6" s="206" t="s">
        <v>118</v>
      </c>
      <c r="U6" s="182"/>
      <c r="V6" s="182"/>
      <c r="W6" s="182"/>
      <c r="X6" s="182"/>
    </row>
    <row r="7" spans="1:24" ht="45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221"/>
      <c r="L7" s="221"/>
      <c r="M7" s="177"/>
      <c r="N7" s="177"/>
      <c r="O7" s="177"/>
      <c r="P7" s="37" t="s">
        <v>113</v>
      </c>
      <c r="Q7" s="38" t="s">
        <v>114</v>
      </c>
      <c r="R7" s="208"/>
      <c r="S7" s="205"/>
      <c r="T7" s="208"/>
      <c r="U7" s="110" t="s">
        <v>202</v>
      </c>
      <c r="V7" s="110" t="s">
        <v>204</v>
      </c>
      <c r="W7" s="110" t="s">
        <v>210</v>
      </c>
      <c r="X7" s="110" t="s">
        <v>213</v>
      </c>
    </row>
    <row r="8" spans="1:24" ht="18.75">
      <c r="A8" s="13">
        <v>1</v>
      </c>
      <c r="B8" s="49">
        <v>2</v>
      </c>
      <c r="C8" s="13">
        <v>3</v>
      </c>
      <c r="D8" s="49">
        <v>4</v>
      </c>
      <c r="E8" s="13">
        <v>5</v>
      </c>
      <c r="F8" s="49">
        <v>6</v>
      </c>
      <c r="G8" s="13">
        <v>7</v>
      </c>
      <c r="H8" s="49">
        <v>8</v>
      </c>
      <c r="I8" s="13">
        <v>9</v>
      </c>
      <c r="J8" s="49">
        <v>10</v>
      </c>
      <c r="K8" s="13">
        <v>11</v>
      </c>
      <c r="L8" s="49">
        <v>12</v>
      </c>
      <c r="M8" s="13">
        <v>13</v>
      </c>
      <c r="N8" s="49">
        <v>14</v>
      </c>
      <c r="O8" s="13">
        <v>15</v>
      </c>
      <c r="P8" s="49">
        <v>16</v>
      </c>
      <c r="Q8" s="13">
        <v>17</v>
      </c>
      <c r="R8" s="49">
        <v>18</v>
      </c>
      <c r="S8" s="13">
        <v>19</v>
      </c>
      <c r="T8" s="49">
        <v>20</v>
      </c>
      <c r="U8" s="13">
        <v>21</v>
      </c>
      <c r="V8" s="49">
        <v>22</v>
      </c>
      <c r="W8" s="13">
        <v>23</v>
      </c>
      <c r="X8" s="13">
        <v>24</v>
      </c>
    </row>
    <row r="9" spans="1:24" s="59" customFormat="1" ht="103.5">
      <c r="A9" s="52">
        <v>1</v>
      </c>
      <c r="B9" s="52" t="s">
        <v>840</v>
      </c>
      <c r="C9" s="52" t="s">
        <v>841</v>
      </c>
      <c r="D9" s="52" t="s">
        <v>842</v>
      </c>
      <c r="E9" s="52" t="s">
        <v>843</v>
      </c>
      <c r="F9" s="52" t="s">
        <v>844</v>
      </c>
      <c r="G9" s="52" t="s">
        <v>845</v>
      </c>
      <c r="H9" s="52" t="s">
        <v>845</v>
      </c>
      <c r="I9" s="52" t="s">
        <v>846</v>
      </c>
      <c r="J9" s="52">
        <v>6</v>
      </c>
      <c r="K9" s="52">
        <v>15002</v>
      </c>
      <c r="L9" s="52">
        <v>6300</v>
      </c>
      <c r="M9" s="70">
        <v>147</v>
      </c>
      <c r="N9" s="70">
        <v>0</v>
      </c>
      <c r="O9" s="70">
        <v>7</v>
      </c>
      <c r="P9" s="70">
        <v>40</v>
      </c>
      <c r="Q9" s="70">
        <v>107</v>
      </c>
      <c r="R9" s="70">
        <v>31</v>
      </c>
      <c r="S9" s="70">
        <v>120</v>
      </c>
      <c r="T9" s="70">
        <v>161</v>
      </c>
      <c r="U9" s="53"/>
      <c r="V9" s="53"/>
      <c r="W9" s="53"/>
      <c r="X9" s="53"/>
    </row>
    <row r="10" spans="1:24" s="50" customFormat="1" ht="18.75">
      <c r="A10" s="63"/>
      <c r="B10" s="23" t="s">
        <v>104</v>
      </c>
      <c r="C10" s="63">
        <f>COUNTIF(B9:B9,"*")</f>
        <v>1</v>
      </c>
      <c r="D10" s="63"/>
      <c r="E10" s="63"/>
      <c r="F10" s="63"/>
      <c r="G10" s="63"/>
      <c r="H10" s="63"/>
      <c r="I10" s="63"/>
      <c r="J10" s="63">
        <f aca="true" t="shared" si="0" ref="J10:X10">SUM(J9:J9)</f>
        <v>6</v>
      </c>
      <c r="K10" s="63">
        <f t="shared" si="0"/>
        <v>15002</v>
      </c>
      <c r="L10" s="63">
        <f t="shared" si="0"/>
        <v>6300</v>
      </c>
      <c r="M10" s="63">
        <f t="shared" si="0"/>
        <v>147</v>
      </c>
      <c r="N10" s="63">
        <f t="shared" si="0"/>
        <v>0</v>
      </c>
      <c r="O10" s="63">
        <f t="shared" si="0"/>
        <v>7</v>
      </c>
      <c r="P10" s="63">
        <f t="shared" si="0"/>
        <v>40</v>
      </c>
      <c r="Q10" s="63">
        <f t="shared" si="0"/>
        <v>107</v>
      </c>
      <c r="R10" s="63">
        <f t="shared" si="0"/>
        <v>31</v>
      </c>
      <c r="S10" s="63">
        <f t="shared" si="0"/>
        <v>120</v>
      </c>
      <c r="T10" s="63">
        <f t="shared" si="0"/>
        <v>161</v>
      </c>
      <c r="U10" s="63">
        <f t="shared" si="0"/>
        <v>0</v>
      </c>
      <c r="V10" s="63">
        <f t="shared" si="0"/>
        <v>0</v>
      </c>
      <c r="W10" s="63">
        <f t="shared" si="0"/>
        <v>0</v>
      </c>
      <c r="X10" s="63">
        <f t="shared" si="0"/>
        <v>0</v>
      </c>
    </row>
  </sheetData>
  <sheetProtection formatCells="0" formatColumns="0" formatRows="0" insertRows="0"/>
  <mergeCells count="27">
    <mergeCell ref="B1:R1"/>
    <mergeCell ref="A3:T3"/>
    <mergeCell ref="A4:R4"/>
    <mergeCell ref="E2:P2"/>
    <mergeCell ref="K5:L5"/>
    <mergeCell ref="M5:R5"/>
    <mergeCell ref="A5:A7"/>
    <mergeCell ref="B5:B7"/>
    <mergeCell ref="C5:C7"/>
    <mergeCell ref="D5:D7"/>
    <mergeCell ref="K6:K7"/>
    <mergeCell ref="P6:Q6"/>
    <mergeCell ref="T6:T7"/>
    <mergeCell ref="M6:M7"/>
    <mergeCell ref="N6:N7"/>
    <mergeCell ref="O6:O7"/>
    <mergeCell ref="R6:R7"/>
    <mergeCell ref="U5:X6"/>
    <mergeCell ref="S5:T5"/>
    <mergeCell ref="E5:E7"/>
    <mergeCell ref="F5:F7"/>
    <mergeCell ref="I5:I7"/>
    <mergeCell ref="L6:L7"/>
    <mergeCell ref="J5:J7"/>
    <mergeCell ref="G5:G7"/>
    <mergeCell ref="H5:H7"/>
    <mergeCell ref="S6:S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H28">
      <selection activeCell="U10" sqref="U10"/>
    </sheetView>
  </sheetViews>
  <sheetFormatPr defaultColWidth="9.140625" defaultRowHeight="15"/>
  <cols>
    <col min="1" max="1" width="4.7109375" style="0" customWidth="1"/>
    <col min="2" max="2" width="10.421875" style="0" customWidth="1"/>
    <col min="13" max="13" width="10.8515625" style="0" customWidth="1"/>
    <col min="14" max="15" width="10.7109375" style="0" customWidth="1"/>
    <col min="17" max="17" width="11.421875" style="0" customWidth="1"/>
  </cols>
  <sheetData>
    <row r="1" spans="1:20" s="1" customFormat="1" ht="18" customHeight="1">
      <c r="A1" s="214" t="s">
        <v>208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2:17" s="1" customFormat="1" ht="18" customHeight="1">
      <c r="B2" s="100"/>
      <c r="C2" s="127"/>
      <c r="D2" s="127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107"/>
      <c r="P2" s="107"/>
      <c r="Q2" s="107"/>
    </row>
    <row r="3" spans="1:23" s="1" customFormat="1" ht="23.25" customHeight="1">
      <c r="A3" s="181" t="s">
        <v>206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33"/>
      <c r="U3" s="133"/>
      <c r="V3" s="133"/>
      <c r="W3" s="133"/>
    </row>
    <row r="4" spans="1:24" s="1" customFormat="1" ht="18.75" customHeight="1">
      <c r="A4" s="226" t="s">
        <v>217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81"/>
      <c r="U4" s="81"/>
      <c r="V4" s="81"/>
      <c r="W4" s="81"/>
      <c r="X4" s="81"/>
    </row>
    <row r="5" spans="1:22" ht="15" customHeight="1">
      <c r="A5" s="216" t="s">
        <v>1</v>
      </c>
      <c r="B5" s="216" t="s">
        <v>69</v>
      </c>
      <c r="C5" s="216" t="s">
        <v>81</v>
      </c>
      <c r="D5" s="216" t="s">
        <v>167</v>
      </c>
      <c r="E5" s="216" t="s">
        <v>70</v>
      </c>
      <c r="F5" s="216" t="s">
        <v>72</v>
      </c>
      <c r="G5" s="216" t="s">
        <v>170</v>
      </c>
      <c r="H5" s="216" t="s">
        <v>168</v>
      </c>
      <c r="I5" s="216" t="s">
        <v>2</v>
      </c>
      <c r="J5" s="227" t="s">
        <v>79</v>
      </c>
      <c r="K5" s="233" t="s">
        <v>191</v>
      </c>
      <c r="L5" s="234"/>
      <c r="M5" s="216" t="s">
        <v>177</v>
      </c>
      <c r="N5" s="216" t="s">
        <v>76</v>
      </c>
      <c r="O5" s="216" t="s">
        <v>77</v>
      </c>
      <c r="P5" s="216" t="s">
        <v>78</v>
      </c>
      <c r="Q5" s="230" t="s">
        <v>166</v>
      </c>
      <c r="R5" s="166" t="s">
        <v>199</v>
      </c>
      <c r="S5" s="167"/>
      <c r="T5" s="182" t="s">
        <v>209</v>
      </c>
      <c r="U5" s="182"/>
      <c r="V5" s="182"/>
    </row>
    <row r="6" spans="1:22" ht="15" customHeight="1">
      <c r="A6" s="183"/>
      <c r="B6" s="183"/>
      <c r="C6" s="183"/>
      <c r="D6" s="183"/>
      <c r="E6" s="183"/>
      <c r="F6" s="183"/>
      <c r="G6" s="183"/>
      <c r="H6" s="183"/>
      <c r="I6" s="183"/>
      <c r="J6" s="228"/>
      <c r="K6" s="192" t="s">
        <v>195</v>
      </c>
      <c r="L6" s="192" t="s">
        <v>194</v>
      </c>
      <c r="M6" s="183"/>
      <c r="N6" s="183"/>
      <c r="O6" s="183"/>
      <c r="P6" s="183"/>
      <c r="Q6" s="231"/>
      <c r="R6" s="168"/>
      <c r="S6" s="169"/>
      <c r="T6" s="182"/>
      <c r="U6" s="182"/>
      <c r="V6" s="182"/>
    </row>
    <row r="7" spans="1:22" ht="15">
      <c r="A7" s="183"/>
      <c r="B7" s="183"/>
      <c r="C7" s="183"/>
      <c r="D7" s="183"/>
      <c r="E7" s="183"/>
      <c r="F7" s="183"/>
      <c r="G7" s="183"/>
      <c r="H7" s="183"/>
      <c r="I7" s="183"/>
      <c r="J7" s="228"/>
      <c r="K7" s="189"/>
      <c r="L7" s="189"/>
      <c r="M7" s="183"/>
      <c r="N7" s="183"/>
      <c r="O7" s="183"/>
      <c r="P7" s="183"/>
      <c r="Q7" s="231"/>
      <c r="R7" s="170"/>
      <c r="S7" s="171"/>
      <c r="T7" s="182"/>
      <c r="U7" s="182"/>
      <c r="V7" s="182"/>
    </row>
    <row r="8" spans="1:22" ht="229.5">
      <c r="A8" s="177"/>
      <c r="B8" s="177"/>
      <c r="C8" s="177"/>
      <c r="D8" s="177"/>
      <c r="E8" s="177"/>
      <c r="F8" s="177"/>
      <c r="G8" s="177"/>
      <c r="H8" s="177"/>
      <c r="I8" s="177"/>
      <c r="J8" s="229"/>
      <c r="K8" s="190"/>
      <c r="L8" s="190"/>
      <c r="M8" s="177"/>
      <c r="N8" s="177"/>
      <c r="O8" s="177"/>
      <c r="P8" s="177"/>
      <c r="Q8" s="232"/>
      <c r="R8" s="98" t="s">
        <v>200</v>
      </c>
      <c r="S8" s="98" t="s">
        <v>201</v>
      </c>
      <c r="T8" s="110" t="s">
        <v>202</v>
      </c>
      <c r="U8" s="110" t="s">
        <v>204</v>
      </c>
      <c r="V8" s="110" t="s">
        <v>213</v>
      </c>
    </row>
    <row r="9" spans="1:22" ht="1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4">
        <v>16</v>
      </c>
      <c r="Q9" s="15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</row>
    <row r="10" spans="1:22" ht="78">
      <c r="A10" s="4">
        <v>1</v>
      </c>
      <c r="B10" s="5"/>
      <c r="C10" s="5" t="s">
        <v>847</v>
      </c>
      <c r="D10" s="5"/>
      <c r="E10" s="5" t="s">
        <v>848</v>
      </c>
      <c r="F10" s="5"/>
      <c r="G10" s="5" t="s">
        <v>849</v>
      </c>
      <c r="H10" s="5" t="s">
        <v>849</v>
      </c>
      <c r="I10" s="5" t="s">
        <v>850</v>
      </c>
      <c r="J10" s="5"/>
      <c r="K10" s="5"/>
      <c r="L10" s="5" t="s">
        <v>229</v>
      </c>
      <c r="M10" s="5">
        <v>1</v>
      </c>
      <c r="N10" s="53" t="s">
        <v>851</v>
      </c>
      <c r="O10" s="53" t="s">
        <v>336</v>
      </c>
      <c r="P10" s="53" t="s">
        <v>229</v>
      </c>
      <c r="Q10" s="53"/>
      <c r="R10" s="93"/>
      <c r="S10" s="93"/>
      <c r="T10" s="93"/>
      <c r="U10" s="93"/>
      <c r="V10" s="93"/>
    </row>
    <row r="11" spans="1:22" ht="78">
      <c r="A11" s="4">
        <v>2</v>
      </c>
      <c r="B11" s="5"/>
      <c r="C11" s="5" t="s">
        <v>847</v>
      </c>
      <c r="D11" s="5"/>
      <c r="E11" s="5" t="s">
        <v>848</v>
      </c>
      <c r="F11" s="5"/>
      <c r="G11" s="5" t="s">
        <v>849</v>
      </c>
      <c r="H11" s="5" t="s">
        <v>849</v>
      </c>
      <c r="I11" s="5" t="s">
        <v>850</v>
      </c>
      <c r="J11" s="5"/>
      <c r="K11" s="5"/>
      <c r="L11" s="5" t="s">
        <v>229</v>
      </c>
      <c r="M11" s="5">
        <v>1</v>
      </c>
      <c r="N11" s="53" t="s">
        <v>851</v>
      </c>
      <c r="O11" s="53" t="s">
        <v>336</v>
      </c>
      <c r="P11" s="53" t="s">
        <v>229</v>
      </c>
      <c r="Q11" s="53"/>
      <c r="R11" s="93"/>
      <c r="S11" s="93"/>
      <c r="T11" s="93"/>
      <c r="U11" s="93"/>
      <c r="V11" s="93"/>
    </row>
    <row r="12" spans="1:22" ht="52.5">
      <c r="A12" s="4">
        <v>3</v>
      </c>
      <c r="B12" s="5"/>
      <c r="C12" s="5" t="s">
        <v>357</v>
      </c>
      <c r="D12" s="5"/>
      <c r="E12" s="5" t="s">
        <v>359</v>
      </c>
      <c r="F12" s="5"/>
      <c r="G12" s="5" t="s">
        <v>852</v>
      </c>
      <c r="H12" s="5" t="s">
        <v>852</v>
      </c>
      <c r="I12" s="5" t="s">
        <v>853</v>
      </c>
      <c r="J12" s="5"/>
      <c r="K12" s="5" t="s">
        <v>229</v>
      </c>
      <c r="L12" s="5"/>
      <c r="M12" s="5">
        <v>2</v>
      </c>
      <c r="N12" s="53" t="s">
        <v>851</v>
      </c>
      <c r="O12" s="53" t="s">
        <v>854</v>
      </c>
      <c r="P12" s="53" t="s">
        <v>229</v>
      </c>
      <c r="Q12" s="53"/>
      <c r="R12" s="93"/>
      <c r="S12" s="93"/>
      <c r="T12" s="93"/>
      <c r="U12" s="93"/>
      <c r="V12" s="93"/>
    </row>
    <row r="13" spans="1:22" ht="116.25">
      <c r="A13" s="4">
        <v>4</v>
      </c>
      <c r="B13" s="5" t="s">
        <v>855</v>
      </c>
      <c r="C13" s="5" t="s">
        <v>856</v>
      </c>
      <c r="D13" s="5"/>
      <c r="E13" s="5" t="s">
        <v>857</v>
      </c>
      <c r="F13" s="5" t="s">
        <v>858</v>
      </c>
      <c r="G13" s="5" t="s">
        <v>859</v>
      </c>
      <c r="H13" s="5" t="s">
        <v>860</v>
      </c>
      <c r="I13" s="5" t="s">
        <v>861</v>
      </c>
      <c r="J13" s="5"/>
      <c r="K13" s="5" t="s">
        <v>229</v>
      </c>
      <c r="L13" s="5"/>
      <c r="M13" s="5">
        <v>1</v>
      </c>
      <c r="N13" s="53" t="s">
        <v>851</v>
      </c>
      <c r="O13" s="53" t="s">
        <v>336</v>
      </c>
      <c r="P13" s="53" t="s">
        <v>229</v>
      </c>
      <c r="Q13" s="53"/>
      <c r="R13" s="93"/>
      <c r="S13" s="93"/>
      <c r="T13" s="93"/>
      <c r="U13" s="93"/>
      <c r="V13" s="93"/>
    </row>
    <row r="14" spans="1:22" ht="116.25">
      <c r="A14" s="4">
        <v>5</v>
      </c>
      <c r="B14" s="5" t="s">
        <v>862</v>
      </c>
      <c r="C14" s="5" t="s">
        <v>863</v>
      </c>
      <c r="D14" s="5"/>
      <c r="E14" s="5" t="s">
        <v>855</v>
      </c>
      <c r="F14" s="5" t="s">
        <v>856</v>
      </c>
      <c r="G14" s="5" t="s">
        <v>864</v>
      </c>
      <c r="H14" s="5" t="s">
        <v>865</v>
      </c>
      <c r="I14" s="5" t="s">
        <v>866</v>
      </c>
      <c r="J14" s="5"/>
      <c r="K14" s="5" t="s">
        <v>229</v>
      </c>
      <c r="L14" s="5"/>
      <c r="M14" s="5">
        <v>1</v>
      </c>
      <c r="N14" s="53" t="s">
        <v>851</v>
      </c>
      <c r="O14" s="53" t="s">
        <v>336</v>
      </c>
      <c r="P14" s="53" t="s">
        <v>229</v>
      </c>
      <c r="Q14" s="53"/>
      <c r="R14" s="93"/>
      <c r="S14" s="93"/>
      <c r="T14" s="93"/>
      <c r="U14" s="93"/>
      <c r="V14" s="93"/>
    </row>
    <row r="15" spans="1:22" ht="116.25">
      <c r="A15" s="4">
        <v>6</v>
      </c>
      <c r="B15" s="5" t="s">
        <v>867</v>
      </c>
      <c r="C15" s="5" t="s">
        <v>868</v>
      </c>
      <c r="D15" s="5"/>
      <c r="E15" s="5" t="s">
        <v>855</v>
      </c>
      <c r="F15" s="5" t="s">
        <v>732</v>
      </c>
      <c r="G15" s="5" t="s">
        <v>869</v>
      </c>
      <c r="H15" s="5" t="s">
        <v>870</v>
      </c>
      <c r="I15" s="5" t="s">
        <v>866</v>
      </c>
      <c r="J15" s="5"/>
      <c r="K15" s="5" t="s">
        <v>229</v>
      </c>
      <c r="L15" s="5"/>
      <c r="M15" s="5">
        <v>1</v>
      </c>
      <c r="N15" s="53" t="s">
        <v>851</v>
      </c>
      <c r="O15" s="53" t="s">
        <v>336</v>
      </c>
      <c r="P15" s="53" t="s">
        <v>229</v>
      </c>
      <c r="Q15" s="53"/>
      <c r="R15" s="93"/>
      <c r="S15" s="93"/>
      <c r="T15" s="93"/>
      <c r="U15" s="93"/>
      <c r="V15" s="93"/>
    </row>
    <row r="16" spans="1:22" ht="116.25">
      <c r="A16" s="4">
        <v>7</v>
      </c>
      <c r="B16" s="5" t="s">
        <v>871</v>
      </c>
      <c r="C16" s="5" t="s">
        <v>872</v>
      </c>
      <c r="D16" s="5"/>
      <c r="E16" s="5" t="s">
        <v>855</v>
      </c>
      <c r="F16" s="5" t="s">
        <v>873</v>
      </c>
      <c r="G16" s="5" t="s">
        <v>874</v>
      </c>
      <c r="H16" s="5" t="s">
        <v>875</v>
      </c>
      <c r="I16" s="5" t="s">
        <v>866</v>
      </c>
      <c r="J16" s="5"/>
      <c r="K16" s="5" t="s">
        <v>229</v>
      </c>
      <c r="L16" s="5"/>
      <c r="M16" s="5">
        <v>1</v>
      </c>
      <c r="N16" s="53" t="s">
        <v>851</v>
      </c>
      <c r="O16" s="53" t="s">
        <v>336</v>
      </c>
      <c r="P16" s="53" t="s">
        <v>229</v>
      </c>
      <c r="Q16" s="53"/>
      <c r="R16" s="93"/>
      <c r="S16" s="93"/>
      <c r="T16" s="93"/>
      <c r="U16" s="93"/>
      <c r="V16" s="93"/>
    </row>
    <row r="17" spans="1:22" ht="116.25">
      <c r="A17" s="4">
        <v>8</v>
      </c>
      <c r="B17" s="5" t="s">
        <v>876</v>
      </c>
      <c r="C17" s="5" t="s">
        <v>877</v>
      </c>
      <c r="D17" s="5"/>
      <c r="E17" s="5" t="s">
        <v>855</v>
      </c>
      <c r="F17" s="5" t="s">
        <v>878</v>
      </c>
      <c r="G17" s="5" t="s">
        <v>879</v>
      </c>
      <c r="H17" s="5" t="s">
        <v>880</v>
      </c>
      <c r="I17" s="5" t="s">
        <v>866</v>
      </c>
      <c r="J17" s="5"/>
      <c r="K17" s="5" t="s">
        <v>229</v>
      </c>
      <c r="L17" s="5"/>
      <c r="M17" s="5">
        <v>1</v>
      </c>
      <c r="N17" s="53" t="s">
        <v>851</v>
      </c>
      <c r="O17" s="53" t="s">
        <v>336</v>
      </c>
      <c r="P17" s="53" t="s">
        <v>229</v>
      </c>
      <c r="Q17" s="53"/>
      <c r="R17" s="93"/>
      <c r="S17" s="93"/>
      <c r="T17" s="93"/>
      <c r="U17" s="93"/>
      <c r="V17" s="93"/>
    </row>
    <row r="18" spans="1:22" ht="116.25">
      <c r="A18" s="4">
        <v>9</v>
      </c>
      <c r="B18" s="5" t="s">
        <v>881</v>
      </c>
      <c r="C18" s="5" t="s">
        <v>882</v>
      </c>
      <c r="D18" s="5"/>
      <c r="E18" s="5" t="s">
        <v>855</v>
      </c>
      <c r="F18" s="5" t="s">
        <v>878</v>
      </c>
      <c r="G18" s="5" t="s">
        <v>879</v>
      </c>
      <c r="H18" s="5" t="s">
        <v>883</v>
      </c>
      <c r="I18" s="5" t="s">
        <v>866</v>
      </c>
      <c r="J18" s="5"/>
      <c r="K18" s="5" t="s">
        <v>229</v>
      </c>
      <c r="L18" s="5"/>
      <c r="M18" s="5">
        <v>1</v>
      </c>
      <c r="N18" s="53" t="s">
        <v>851</v>
      </c>
      <c r="O18" s="53" t="s">
        <v>336</v>
      </c>
      <c r="P18" s="53" t="s">
        <v>229</v>
      </c>
      <c r="Q18" s="53"/>
      <c r="R18" s="93"/>
      <c r="S18" s="93"/>
      <c r="T18" s="93"/>
      <c r="U18" s="93"/>
      <c r="V18" s="93"/>
    </row>
    <row r="19" spans="1:22" ht="116.25">
      <c r="A19" s="4">
        <v>10</v>
      </c>
      <c r="B19" s="5" t="s">
        <v>884</v>
      </c>
      <c r="C19" s="5" t="s">
        <v>885</v>
      </c>
      <c r="D19" s="5"/>
      <c r="E19" s="5" t="s">
        <v>855</v>
      </c>
      <c r="F19" s="5" t="s">
        <v>878</v>
      </c>
      <c r="G19" s="5" t="s">
        <v>879</v>
      </c>
      <c r="H19" s="5" t="s">
        <v>886</v>
      </c>
      <c r="I19" s="5" t="s">
        <v>866</v>
      </c>
      <c r="J19" s="5"/>
      <c r="K19" s="5" t="s">
        <v>229</v>
      </c>
      <c r="L19" s="5"/>
      <c r="M19" s="5">
        <v>1</v>
      </c>
      <c r="N19" s="53" t="s">
        <v>851</v>
      </c>
      <c r="O19" s="53" t="s">
        <v>336</v>
      </c>
      <c r="P19" s="53" t="s">
        <v>229</v>
      </c>
      <c r="Q19" s="53"/>
      <c r="R19" s="93"/>
      <c r="S19" s="93"/>
      <c r="T19" s="93"/>
      <c r="U19" s="93"/>
      <c r="V19" s="93"/>
    </row>
    <row r="20" spans="1:22" ht="116.25">
      <c r="A20" s="4">
        <v>11</v>
      </c>
      <c r="B20" s="5" t="s">
        <v>887</v>
      </c>
      <c r="C20" s="5" t="s">
        <v>888</v>
      </c>
      <c r="D20" s="5"/>
      <c r="E20" s="5" t="s">
        <v>855</v>
      </c>
      <c r="F20" s="5" t="s">
        <v>878</v>
      </c>
      <c r="G20" s="5" t="s">
        <v>879</v>
      </c>
      <c r="H20" s="5" t="s">
        <v>889</v>
      </c>
      <c r="I20" s="5" t="s">
        <v>866</v>
      </c>
      <c r="J20" s="5"/>
      <c r="K20" s="5" t="s">
        <v>229</v>
      </c>
      <c r="L20" s="5"/>
      <c r="M20" s="5">
        <v>1</v>
      </c>
      <c r="N20" s="53" t="s">
        <v>851</v>
      </c>
      <c r="O20" s="53" t="s">
        <v>336</v>
      </c>
      <c r="P20" s="53" t="s">
        <v>229</v>
      </c>
      <c r="Q20" s="53"/>
      <c r="R20" s="93"/>
      <c r="S20" s="93"/>
      <c r="T20" s="93"/>
      <c r="U20" s="93"/>
      <c r="V20" s="93"/>
    </row>
    <row r="21" spans="1:22" ht="116.25">
      <c r="A21" s="4">
        <v>12</v>
      </c>
      <c r="B21" s="5" t="s">
        <v>890</v>
      </c>
      <c r="C21" s="5" t="s">
        <v>891</v>
      </c>
      <c r="D21" s="5"/>
      <c r="E21" s="5" t="s">
        <v>855</v>
      </c>
      <c r="F21" s="5" t="s">
        <v>878</v>
      </c>
      <c r="G21" s="5" t="s">
        <v>879</v>
      </c>
      <c r="H21" s="5" t="s">
        <v>892</v>
      </c>
      <c r="I21" s="5" t="s">
        <v>866</v>
      </c>
      <c r="J21" s="5"/>
      <c r="K21" s="5" t="s">
        <v>229</v>
      </c>
      <c r="L21" s="5"/>
      <c r="M21" s="5">
        <v>1</v>
      </c>
      <c r="N21" s="53" t="s">
        <v>851</v>
      </c>
      <c r="O21" s="53" t="s">
        <v>336</v>
      </c>
      <c r="P21" s="53" t="s">
        <v>229</v>
      </c>
      <c r="Q21" s="53"/>
      <c r="R21" s="93"/>
      <c r="S21" s="93"/>
      <c r="T21" s="93"/>
      <c r="U21" s="93"/>
      <c r="V21" s="93"/>
    </row>
    <row r="22" spans="1:22" ht="116.25">
      <c r="A22" s="4">
        <v>13</v>
      </c>
      <c r="B22" s="5" t="s">
        <v>893</v>
      </c>
      <c r="C22" s="5" t="s">
        <v>894</v>
      </c>
      <c r="D22" s="5"/>
      <c r="E22" s="5" t="s">
        <v>855</v>
      </c>
      <c r="F22" s="5" t="s">
        <v>878</v>
      </c>
      <c r="G22" s="5" t="s">
        <v>879</v>
      </c>
      <c r="H22" s="5" t="s">
        <v>895</v>
      </c>
      <c r="I22" s="5" t="s">
        <v>896</v>
      </c>
      <c r="J22" s="5"/>
      <c r="K22" s="5" t="s">
        <v>229</v>
      </c>
      <c r="L22" s="5"/>
      <c r="M22" s="5">
        <v>1</v>
      </c>
      <c r="N22" s="53" t="s">
        <v>851</v>
      </c>
      <c r="O22" s="53" t="s">
        <v>336</v>
      </c>
      <c r="P22" s="53" t="s">
        <v>229</v>
      </c>
      <c r="Q22" s="53"/>
      <c r="R22" s="93"/>
      <c r="S22" s="93"/>
      <c r="T22" s="93"/>
      <c r="U22" s="93"/>
      <c r="V22" s="93"/>
    </row>
    <row r="23" spans="1:22" ht="116.25">
      <c r="A23" s="4">
        <v>14</v>
      </c>
      <c r="B23" s="5" t="s">
        <v>897</v>
      </c>
      <c r="C23" s="5" t="s">
        <v>898</v>
      </c>
      <c r="D23" s="5"/>
      <c r="E23" s="5" t="s">
        <v>855</v>
      </c>
      <c r="F23" s="5" t="s">
        <v>878</v>
      </c>
      <c r="G23" s="5" t="s">
        <v>879</v>
      </c>
      <c r="H23" s="5" t="s">
        <v>899</v>
      </c>
      <c r="I23" s="5" t="s">
        <v>896</v>
      </c>
      <c r="J23" s="5"/>
      <c r="K23" s="5" t="s">
        <v>229</v>
      </c>
      <c r="L23" s="5"/>
      <c r="M23" s="5">
        <v>1</v>
      </c>
      <c r="N23" s="53" t="s">
        <v>851</v>
      </c>
      <c r="O23" s="53" t="s">
        <v>336</v>
      </c>
      <c r="P23" s="53" t="s">
        <v>229</v>
      </c>
      <c r="Q23" s="53"/>
      <c r="R23" s="93"/>
      <c r="S23" s="93"/>
      <c r="T23" s="93"/>
      <c r="U23" s="93"/>
      <c r="V23" s="93"/>
    </row>
    <row r="24" spans="1:22" ht="116.25">
      <c r="A24" s="4">
        <v>15</v>
      </c>
      <c r="B24" s="5" t="s">
        <v>900</v>
      </c>
      <c r="C24" s="5" t="s">
        <v>901</v>
      </c>
      <c r="D24" s="5" t="s">
        <v>902</v>
      </c>
      <c r="E24" s="5" t="s">
        <v>855</v>
      </c>
      <c r="F24" s="5" t="s">
        <v>878</v>
      </c>
      <c r="G24" s="5" t="s">
        <v>879</v>
      </c>
      <c r="H24" s="5" t="s">
        <v>903</v>
      </c>
      <c r="I24" s="5" t="s">
        <v>904</v>
      </c>
      <c r="J24" s="5"/>
      <c r="K24" s="5" t="s">
        <v>229</v>
      </c>
      <c r="L24" s="5"/>
      <c r="M24" s="5">
        <v>1</v>
      </c>
      <c r="N24" s="53" t="s">
        <v>851</v>
      </c>
      <c r="O24" s="53" t="s">
        <v>336</v>
      </c>
      <c r="P24" s="53" t="s">
        <v>229</v>
      </c>
      <c r="Q24" s="53"/>
      <c r="R24" s="93"/>
      <c r="S24" s="93"/>
      <c r="T24" s="93"/>
      <c r="U24" s="93"/>
      <c r="V24" s="93"/>
    </row>
    <row r="25" spans="1:22" ht="116.25">
      <c r="A25" s="4">
        <v>16</v>
      </c>
      <c r="B25" s="5" t="s">
        <v>905</v>
      </c>
      <c r="C25" s="5" t="s">
        <v>906</v>
      </c>
      <c r="D25" s="5" t="s">
        <v>902</v>
      </c>
      <c r="E25" s="5" t="s">
        <v>855</v>
      </c>
      <c r="F25" s="5" t="s">
        <v>878</v>
      </c>
      <c r="G25" s="5" t="s">
        <v>879</v>
      </c>
      <c r="H25" s="5" t="s">
        <v>907</v>
      </c>
      <c r="I25" s="5" t="s">
        <v>908</v>
      </c>
      <c r="J25" s="5"/>
      <c r="K25" s="5" t="s">
        <v>229</v>
      </c>
      <c r="L25" s="5"/>
      <c r="M25" s="5">
        <v>1</v>
      </c>
      <c r="N25" s="53" t="s">
        <v>851</v>
      </c>
      <c r="O25" s="53" t="s">
        <v>336</v>
      </c>
      <c r="P25" s="53" t="s">
        <v>229</v>
      </c>
      <c r="Q25" s="53"/>
      <c r="R25" s="93"/>
      <c r="S25" s="93"/>
      <c r="T25" s="93"/>
      <c r="U25" s="93"/>
      <c r="V25" s="93"/>
    </row>
    <row r="26" spans="1:22" ht="116.25">
      <c r="A26" s="4">
        <v>17</v>
      </c>
      <c r="B26" s="5" t="s">
        <v>909</v>
      </c>
      <c r="C26" s="5" t="s">
        <v>910</v>
      </c>
      <c r="D26" s="5" t="s">
        <v>902</v>
      </c>
      <c r="E26" s="5" t="s">
        <v>855</v>
      </c>
      <c r="F26" s="5" t="s">
        <v>911</v>
      </c>
      <c r="G26" s="5" t="s">
        <v>912</v>
      </c>
      <c r="H26" s="5" t="s">
        <v>913</v>
      </c>
      <c r="I26" s="5" t="s">
        <v>904</v>
      </c>
      <c r="J26" s="5"/>
      <c r="K26" s="5" t="s">
        <v>229</v>
      </c>
      <c r="L26" s="5"/>
      <c r="M26" s="5">
        <v>1</v>
      </c>
      <c r="N26" s="53" t="s">
        <v>851</v>
      </c>
      <c r="O26" s="53" t="s">
        <v>336</v>
      </c>
      <c r="P26" s="53" t="s">
        <v>229</v>
      </c>
      <c r="Q26" s="53"/>
      <c r="R26" s="93"/>
      <c r="S26" s="93"/>
      <c r="T26" s="93"/>
      <c r="U26" s="93"/>
      <c r="V26" s="93"/>
    </row>
    <row r="27" spans="1:22" ht="116.25">
      <c r="A27" s="4">
        <v>18</v>
      </c>
      <c r="B27" s="5" t="s">
        <v>914</v>
      </c>
      <c r="C27" s="5" t="s">
        <v>915</v>
      </c>
      <c r="D27" s="5" t="s">
        <v>902</v>
      </c>
      <c r="E27" s="5" t="s">
        <v>855</v>
      </c>
      <c r="F27" s="5" t="s">
        <v>911</v>
      </c>
      <c r="G27" s="5" t="s">
        <v>912</v>
      </c>
      <c r="H27" s="5" t="s">
        <v>916</v>
      </c>
      <c r="I27" s="5" t="s">
        <v>904</v>
      </c>
      <c r="J27" s="5"/>
      <c r="K27" s="5" t="s">
        <v>229</v>
      </c>
      <c r="L27" s="5"/>
      <c r="M27" s="5">
        <v>1</v>
      </c>
      <c r="N27" s="53" t="s">
        <v>851</v>
      </c>
      <c r="O27" s="53" t="s">
        <v>336</v>
      </c>
      <c r="P27" s="53" t="s">
        <v>229</v>
      </c>
      <c r="Q27" s="53"/>
      <c r="R27" s="93"/>
      <c r="S27" s="93"/>
      <c r="T27" s="93"/>
      <c r="U27" s="93"/>
      <c r="V27" s="93"/>
    </row>
    <row r="28" spans="1:22" ht="116.25">
      <c r="A28" s="4">
        <v>19</v>
      </c>
      <c r="B28" s="5" t="s">
        <v>917</v>
      </c>
      <c r="C28" s="5" t="s">
        <v>918</v>
      </c>
      <c r="D28" s="5" t="s">
        <v>902</v>
      </c>
      <c r="E28" s="5" t="s">
        <v>855</v>
      </c>
      <c r="F28" s="5" t="s">
        <v>911</v>
      </c>
      <c r="G28" s="5" t="s">
        <v>912</v>
      </c>
      <c r="H28" s="5" t="s">
        <v>919</v>
      </c>
      <c r="I28" s="5" t="s">
        <v>866</v>
      </c>
      <c r="J28" s="5"/>
      <c r="K28" s="5" t="s">
        <v>229</v>
      </c>
      <c r="L28" s="5"/>
      <c r="M28" s="5">
        <v>1</v>
      </c>
      <c r="N28" s="53" t="s">
        <v>851</v>
      </c>
      <c r="O28" s="53" t="s">
        <v>336</v>
      </c>
      <c r="P28" s="53" t="s">
        <v>229</v>
      </c>
      <c r="Q28" s="53"/>
      <c r="R28" s="93"/>
      <c r="S28" s="93"/>
      <c r="T28" s="93"/>
      <c r="U28" s="93"/>
      <c r="V28" s="93"/>
    </row>
    <row r="29" spans="1:22" ht="116.25">
      <c r="A29" s="4">
        <v>20</v>
      </c>
      <c r="B29" s="5" t="s">
        <v>920</v>
      </c>
      <c r="C29" s="5" t="s">
        <v>921</v>
      </c>
      <c r="D29" s="5" t="s">
        <v>902</v>
      </c>
      <c r="E29" s="5" t="s">
        <v>855</v>
      </c>
      <c r="F29" s="5" t="s">
        <v>911</v>
      </c>
      <c r="G29" s="5" t="s">
        <v>912</v>
      </c>
      <c r="H29" s="5" t="s">
        <v>922</v>
      </c>
      <c r="I29" s="5" t="s">
        <v>866</v>
      </c>
      <c r="J29" s="5"/>
      <c r="K29" s="5" t="s">
        <v>229</v>
      </c>
      <c r="L29" s="5"/>
      <c r="M29" s="5">
        <v>1</v>
      </c>
      <c r="N29" s="53" t="s">
        <v>851</v>
      </c>
      <c r="O29" s="53" t="s">
        <v>336</v>
      </c>
      <c r="P29" s="53" t="s">
        <v>229</v>
      </c>
      <c r="Q29" s="53"/>
      <c r="R29" s="93"/>
      <c r="S29" s="93"/>
      <c r="T29" s="93"/>
      <c r="U29" s="93"/>
      <c r="V29" s="93"/>
    </row>
    <row r="30" spans="1:22" ht="18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3"/>
      <c r="O30" s="53"/>
      <c r="P30" s="53"/>
      <c r="Q30" s="53"/>
      <c r="R30" s="93"/>
      <c r="S30" s="93"/>
      <c r="T30" s="93"/>
      <c r="U30" s="93"/>
      <c r="V30" s="93"/>
    </row>
    <row r="31" spans="1:22" ht="15.75" customHeight="1">
      <c r="A31" s="235" t="s">
        <v>23</v>
      </c>
      <c r="B31" s="236"/>
      <c r="C31" s="235" t="s">
        <v>27</v>
      </c>
      <c r="D31" s="237"/>
      <c r="E31" s="236"/>
      <c r="F31" s="82">
        <f>K31+L31</f>
        <v>20</v>
      </c>
      <c r="G31" s="82"/>
      <c r="H31" s="82"/>
      <c r="I31" s="83"/>
      <c r="J31" s="83">
        <f>COUNTIF(J10:J30,"*")</f>
        <v>0</v>
      </c>
      <c r="K31" s="83">
        <f>COUNTIF(K10:K30,"*")</f>
        <v>18</v>
      </c>
      <c r="L31" s="83">
        <f>COUNTIF(L10:L30,"*")</f>
        <v>2</v>
      </c>
      <c r="M31" s="83">
        <v>21</v>
      </c>
      <c r="N31" s="83"/>
      <c r="O31" s="83"/>
      <c r="P31" s="83">
        <f aca="true" t="shared" si="0" ref="P31:V31">COUNTIF(P10:P30,"*")</f>
        <v>20</v>
      </c>
      <c r="Q31" s="83">
        <f t="shared" si="0"/>
        <v>0</v>
      </c>
      <c r="R31" s="94">
        <f t="shared" si="0"/>
        <v>0</v>
      </c>
      <c r="S31" s="94">
        <f t="shared" si="0"/>
        <v>0</v>
      </c>
      <c r="T31" s="94">
        <f t="shared" si="0"/>
        <v>0</v>
      </c>
      <c r="U31" s="94">
        <f t="shared" si="0"/>
        <v>0</v>
      </c>
      <c r="V31" s="94">
        <f t="shared" si="0"/>
        <v>0</v>
      </c>
    </row>
  </sheetData>
  <sheetProtection insertRows="0"/>
  <mergeCells count="26">
    <mergeCell ref="A31:B31"/>
    <mergeCell ref="C31:E31"/>
    <mergeCell ref="N5:N8"/>
    <mergeCell ref="O5:O8"/>
    <mergeCell ref="E5:E8"/>
    <mergeCell ref="F5:F8"/>
    <mergeCell ref="G5:G8"/>
    <mergeCell ref="H5:H8"/>
    <mergeCell ref="A5:A8"/>
    <mergeCell ref="B5:B8"/>
    <mergeCell ref="Q5:Q8"/>
    <mergeCell ref="I5:I8"/>
    <mergeCell ref="K5:L5"/>
    <mergeCell ref="M5:M8"/>
    <mergeCell ref="K6:K8"/>
    <mergeCell ref="L6:L8"/>
    <mergeCell ref="E2:N2"/>
    <mergeCell ref="A1:T1"/>
    <mergeCell ref="A3:S3"/>
    <mergeCell ref="A4:S4"/>
    <mergeCell ref="J5:J8"/>
    <mergeCell ref="R5:S7"/>
    <mergeCell ref="C5:C8"/>
    <mergeCell ref="D5:D8"/>
    <mergeCell ref="T5:V7"/>
    <mergeCell ref="P5:P8"/>
  </mergeCells>
  <printOptions/>
  <pageMargins left="0.75" right="0.75" top="1" bottom="1" header="0.5" footer="0.5"/>
  <pageSetup horizontalDpi="600" verticalDpi="600" orientation="landscape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X42"/>
  <sheetViews>
    <sheetView view="pageBreakPreview" zoomScale="60" zoomScaleNormal="40" zoomScalePageLayoutView="0" workbookViewId="0" topLeftCell="A1">
      <selection activeCell="J26" sqref="J26"/>
    </sheetView>
  </sheetViews>
  <sheetFormatPr defaultColWidth="9.140625" defaultRowHeight="15"/>
  <cols>
    <col min="1" max="1" width="4.140625" style="71" customWidth="1"/>
    <col min="2" max="2" width="31.00390625" style="71" customWidth="1"/>
    <col min="3" max="3" width="19.00390625" style="71" customWidth="1"/>
    <col min="4" max="4" width="20.57421875" style="71" customWidth="1"/>
    <col min="5" max="5" width="24.140625" style="71" customWidth="1"/>
    <col min="6" max="6" width="20.28125" style="71" customWidth="1"/>
    <col min="7" max="7" width="21.7109375" style="71" customWidth="1"/>
    <col min="8" max="8" width="21.421875" style="71" customWidth="1"/>
    <col min="9" max="9" width="13.28125" style="71" customWidth="1"/>
    <col min="10" max="10" width="14.28125" style="71" customWidth="1"/>
    <col min="11" max="11" width="15.421875" style="71" customWidth="1"/>
    <col min="12" max="12" width="10.421875" style="71" customWidth="1"/>
    <col min="13" max="13" width="12.8515625" style="71" customWidth="1"/>
    <col min="14" max="14" width="14.57421875" style="71" customWidth="1"/>
    <col min="15" max="15" width="11.421875" style="71" customWidth="1"/>
    <col min="16" max="16" width="17.7109375" style="71" customWidth="1"/>
    <col min="17" max="17" width="21.8515625" style="71" customWidth="1"/>
    <col min="18" max="18" width="23.57421875" style="71" customWidth="1"/>
    <col min="19" max="19" width="20.140625" style="71" customWidth="1"/>
    <col min="20" max="20" width="14.28125" style="71" customWidth="1"/>
    <col min="21" max="21" width="23.421875" style="71" customWidth="1"/>
    <col min="22" max="22" width="17.140625" style="71" customWidth="1"/>
    <col min="23" max="23" width="28.140625" style="71" customWidth="1"/>
    <col min="24" max="24" width="17.00390625" style="71" customWidth="1"/>
    <col min="25" max="16384" width="9.140625" style="71" customWidth="1"/>
  </cols>
  <sheetData>
    <row r="1" spans="2:22" ht="39" customHeight="1">
      <c r="B1" s="241" t="s">
        <v>128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ht="20.25">
      <c r="B2" s="71" t="s">
        <v>129</v>
      </c>
    </row>
    <row r="3" spans="2:24" ht="18.75" customHeight="1">
      <c r="B3" s="238" t="s">
        <v>136</v>
      </c>
      <c r="C3" s="238" t="s">
        <v>142</v>
      </c>
      <c r="D3" s="238" t="s">
        <v>141</v>
      </c>
      <c r="E3" s="238" t="s">
        <v>143</v>
      </c>
      <c r="F3" s="238" t="s">
        <v>144</v>
      </c>
      <c r="G3" s="238" t="s">
        <v>145</v>
      </c>
      <c r="H3" s="238" t="s">
        <v>137</v>
      </c>
      <c r="I3" s="239" t="s">
        <v>4</v>
      </c>
      <c r="J3" s="239"/>
      <c r="K3" s="239"/>
      <c r="L3" s="239"/>
      <c r="M3" s="239"/>
      <c r="N3" s="239"/>
      <c r="O3" s="238" t="s">
        <v>146</v>
      </c>
      <c r="P3" s="238" t="s">
        <v>147</v>
      </c>
      <c r="Q3" s="238" t="s">
        <v>148</v>
      </c>
      <c r="R3" s="238" t="s">
        <v>149</v>
      </c>
      <c r="S3" s="238" t="s">
        <v>150</v>
      </c>
      <c r="T3" s="238" t="s">
        <v>188</v>
      </c>
      <c r="U3" s="238" t="s">
        <v>127</v>
      </c>
      <c r="V3" s="238" t="s">
        <v>124</v>
      </c>
      <c r="W3" s="238" t="s">
        <v>153</v>
      </c>
      <c r="X3" s="72"/>
    </row>
    <row r="4" spans="2:24" ht="20.25">
      <c r="B4" s="238"/>
      <c r="C4" s="238"/>
      <c r="D4" s="238"/>
      <c r="E4" s="238"/>
      <c r="F4" s="238"/>
      <c r="G4" s="238"/>
      <c r="H4" s="238"/>
      <c r="I4" s="239" t="s">
        <v>138</v>
      </c>
      <c r="J4" s="239"/>
      <c r="K4" s="239"/>
      <c r="L4" s="239" t="s">
        <v>139</v>
      </c>
      <c r="M4" s="239"/>
      <c r="N4" s="239"/>
      <c r="O4" s="238"/>
      <c r="P4" s="238"/>
      <c r="Q4" s="238"/>
      <c r="R4" s="238"/>
      <c r="S4" s="238"/>
      <c r="T4" s="238"/>
      <c r="U4" s="238"/>
      <c r="V4" s="238"/>
      <c r="W4" s="238"/>
      <c r="X4" s="72"/>
    </row>
    <row r="5" spans="2:24" ht="20.25">
      <c r="B5" s="238"/>
      <c r="C5" s="238"/>
      <c r="D5" s="238"/>
      <c r="E5" s="238"/>
      <c r="F5" s="238"/>
      <c r="G5" s="238"/>
      <c r="H5" s="238"/>
      <c r="I5" s="238" t="s">
        <v>7</v>
      </c>
      <c r="J5" s="239" t="s">
        <v>140</v>
      </c>
      <c r="K5" s="239"/>
      <c r="L5" s="238" t="s">
        <v>7</v>
      </c>
      <c r="M5" s="239" t="s">
        <v>140</v>
      </c>
      <c r="N5" s="239"/>
      <c r="O5" s="238"/>
      <c r="P5" s="238"/>
      <c r="Q5" s="238"/>
      <c r="R5" s="238"/>
      <c r="S5" s="238"/>
      <c r="T5" s="238"/>
      <c r="U5" s="238"/>
      <c r="V5" s="238"/>
      <c r="W5" s="238"/>
      <c r="X5" s="72"/>
    </row>
    <row r="6" spans="2:24" ht="87" customHeight="1">
      <c r="B6" s="238"/>
      <c r="C6" s="238"/>
      <c r="D6" s="238"/>
      <c r="E6" s="238"/>
      <c r="F6" s="238"/>
      <c r="G6" s="238"/>
      <c r="H6" s="238"/>
      <c r="I6" s="238"/>
      <c r="J6" s="73" t="s">
        <v>73</v>
      </c>
      <c r="K6" s="73" t="s">
        <v>74</v>
      </c>
      <c r="L6" s="238"/>
      <c r="M6" s="73" t="s">
        <v>73</v>
      </c>
      <c r="N6" s="74" t="s">
        <v>74</v>
      </c>
      <c r="O6" s="238"/>
      <c r="P6" s="238"/>
      <c r="Q6" s="238"/>
      <c r="R6" s="238"/>
      <c r="S6" s="238"/>
      <c r="T6" s="238"/>
      <c r="U6" s="238"/>
      <c r="V6" s="238"/>
      <c r="W6" s="238"/>
      <c r="X6" s="72"/>
    </row>
    <row r="7" spans="2:24" ht="50.25" customHeight="1">
      <c r="B7" s="75" t="s">
        <v>7</v>
      </c>
      <c r="C7" s="76">
        <f>Лист3!B7</f>
        <v>101</v>
      </c>
      <c r="D7" s="76">
        <f>Лист3!C7</f>
        <v>8</v>
      </c>
      <c r="E7" s="76">
        <f>Лист3!D7</f>
        <v>2</v>
      </c>
      <c r="F7" s="76">
        <f>Лист3!F7</f>
        <v>38</v>
      </c>
      <c r="G7" s="76">
        <f>Лист3!G7</f>
        <v>386</v>
      </c>
      <c r="H7" s="76">
        <f>Лист3!H7</f>
        <v>311</v>
      </c>
      <c r="I7" s="76">
        <f>Лист3!I7</f>
        <v>15362.83</v>
      </c>
      <c r="J7" s="76">
        <f>Лист3!J7</f>
        <v>6790.070000000001</v>
      </c>
      <c r="K7" s="76">
        <f>Лист3!K7</f>
        <v>8238.26</v>
      </c>
      <c r="L7" s="76">
        <f>Лист3!L7</f>
        <v>10053.35</v>
      </c>
      <c r="M7" s="76">
        <f>Лист3!M7</f>
        <v>4385.450000000001</v>
      </c>
      <c r="N7" s="76">
        <f>Лист3!N7</f>
        <v>5667.9</v>
      </c>
      <c r="O7" s="77">
        <f>Лист3!E28</f>
        <v>6</v>
      </c>
      <c r="P7" s="77">
        <f>Лист3!O7</f>
        <v>27</v>
      </c>
      <c r="Q7" s="77">
        <f>Лист3!B28</f>
        <v>4</v>
      </c>
      <c r="R7" s="77">
        <f>Лист3!C28</f>
        <v>27</v>
      </c>
      <c r="S7" s="77">
        <f>Лист3!D28</f>
        <v>28</v>
      </c>
      <c r="T7" s="77">
        <f>Лист3!P7</f>
        <v>4</v>
      </c>
      <c r="U7" s="77" t="e">
        <f>Лист3!Q7</f>
        <v>#REF!</v>
      </c>
      <c r="V7" s="77" t="e">
        <f>Лист3!R7</f>
        <v>#REF!</v>
      </c>
      <c r="W7" s="77">
        <f>Лист3!F28</f>
        <v>11</v>
      </c>
      <c r="X7" s="72"/>
    </row>
    <row r="8" spans="2:23" s="72" customFormat="1" ht="206.25" customHeight="1">
      <c r="B8" s="77" t="s">
        <v>176</v>
      </c>
      <c r="C8" s="77">
        <f>Лист3!O7</f>
        <v>27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4"/>
    </row>
    <row r="9" spans="2:23" s="72" customFormat="1" ht="33" customHeight="1">
      <c r="B9" s="77" t="s">
        <v>130</v>
      </c>
      <c r="C9" s="77">
        <f>Лист3!B2</f>
        <v>18</v>
      </c>
      <c r="D9" s="77">
        <f>Лист3!C2</f>
        <v>3</v>
      </c>
      <c r="E9" s="77">
        <f>Лист3!D2</f>
        <v>2</v>
      </c>
      <c r="F9" s="77">
        <f>Лист3!F2</f>
        <v>1</v>
      </c>
      <c r="G9" s="77">
        <f>Лист3!G2</f>
        <v>52</v>
      </c>
      <c r="H9" s="77">
        <f>Лист3!H2</f>
        <v>44</v>
      </c>
      <c r="I9" s="77">
        <f>Лист3!I2</f>
        <v>1334.4699999999998</v>
      </c>
      <c r="J9" s="77">
        <f>Лист3!J2</f>
        <v>1293.37</v>
      </c>
      <c r="K9" s="77">
        <f>Лист3!K2</f>
        <v>41.1</v>
      </c>
      <c r="L9" s="165">
        <f>Лист3!L2</f>
        <v>790.8499999999999</v>
      </c>
      <c r="M9" s="77">
        <f>Лист3!M2</f>
        <v>765.3499999999999</v>
      </c>
      <c r="N9" s="77">
        <f>Лист3!N2</f>
        <v>25.5</v>
      </c>
      <c r="O9" s="77">
        <f>Лист3!E23</f>
        <v>6</v>
      </c>
      <c r="P9" s="77">
        <f>Лист3!O2</f>
        <v>11</v>
      </c>
      <c r="Q9" s="77">
        <f>Лист3!B23</f>
        <v>1</v>
      </c>
      <c r="R9" s="77">
        <f>Лист3!C23</f>
        <v>9</v>
      </c>
      <c r="S9" s="77">
        <f>Лист3!D23</f>
        <v>8</v>
      </c>
      <c r="T9" s="77">
        <f>Лист3!P2</f>
        <v>1</v>
      </c>
      <c r="U9" s="77" t="e">
        <f>Лист3!Q2</f>
        <v>#REF!</v>
      </c>
      <c r="V9" s="77" t="e">
        <f>Лист3!R2</f>
        <v>#REF!</v>
      </c>
      <c r="W9" s="77">
        <f>Лист3!F23</f>
        <v>6</v>
      </c>
    </row>
    <row r="10" spans="2:23" s="72" customFormat="1" ht="74.25" customHeight="1">
      <c r="B10" s="77" t="s">
        <v>131</v>
      </c>
      <c r="C10" s="77">
        <f>Лист3!B3</f>
        <v>32</v>
      </c>
      <c r="D10" s="77">
        <f>Лист3!C3</f>
        <v>0</v>
      </c>
      <c r="E10" s="77">
        <f>Лист3!D3</f>
        <v>0</v>
      </c>
      <c r="F10" s="77">
        <f>Лист3!F3</f>
        <v>17</v>
      </c>
      <c r="G10" s="77">
        <f>Лист3!G3</f>
        <v>100</v>
      </c>
      <c r="H10" s="77">
        <f>Лист3!H3</f>
        <v>77</v>
      </c>
      <c r="I10" s="77">
        <f>Лист3!I3</f>
        <v>3431.0000000000005</v>
      </c>
      <c r="J10" s="77" t="str">
        <f>Лист3!J3</f>
        <v> </v>
      </c>
      <c r="K10" s="77">
        <f>Лист3!K3</f>
        <v>3431.0000000000005</v>
      </c>
      <c r="L10" s="165">
        <f>Лист3!L3</f>
        <v>2019.1</v>
      </c>
      <c r="M10" s="77" t="str">
        <f>Лист3!M3</f>
        <v> </v>
      </c>
      <c r="N10" s="77">
        <f>Лист3!N3</f>
        <v>2019.1</v>
      </c>
      <c r="O10" s="77">
        <f>Лист3!E24</f>
        <v>0</v>
      </c>
      <c r="P10" s="77">
        <f>Лист3!O3</f>
        <v>9</v>
      </c>
      <c r="Q10" s="77">
        <f>Лист3!B24</f>
        <v>2</v>
      </c>
      <c r="R10" s="77">
        <f>Лист3!C24</f>
        <v>12</v>
      </c>
      <c r="S10" s="77">
        <f>Лист3!D24</f>
        <v>18</v>
      </c>
      <c r="T10" s="77">
        <f>Лист3!P3</f>
        <v>1</v>
      </c>
      <c r="U10" s="77"/>
      <c r="V10" s="77"/>
      <c r="W10" s="77"/>
    </row>
    <row r="11" spans="2:24" s="72" customFormat="1" ht="69" customHeight="1">
      <c r="B11" s="77" t="s">
        <v>132</v>
      </c>
      <c r="C11" s="77">
        <f>Лист3!B4</f>
        <v>45</v>
      </c>
      <c r="D11" s="77">
        <f>Лист3!C4</f>
        <v>5</v>
      </c>
      <c r="E11" s="77">
        <f>Лист3!D4</f>
        <v>0</v>
      </c>
      <c r="F11" s="77">
        <f>Лист3!F4</f>
        <v>18</v>
      </c>
      <c r="G11" s="77">
        <f>Лист3!G4</f>
        <v>163</v>
      </c>
      <c r="H11" s="77">
        <f>Лист3!H4</f>
        <v>135</v>
      </c>
      <c r="I11" s="77">
        <f>Лист3!I4</f>
        <v>6176.8</v>
      </c>
      <c r="J11" s="77">
        <f>Лист3!J4</f>
        <v>4696.700000000001</v>
      </c>
      <c r="K11" s="77">
        <f>Лист3!K4</f>
        <v>1145.6</v>
      </c>
      <c r="L11" s="165">
        <f>Лист3!L4</f>
        <v>3625.4000000000005</v>
      </c>
      <c r="M11" s="77">
        <f>Лист3!M4</f>
        <v>2920.1000000000004</v>
      </c>
      <c r="N11" s="77">
        <f>Лист3!N4</f>
        <v>705.3000000000001</v>
      </c>
      <c r="O11" s="77">
        <f>Лист3!E25</f>
        <v>0</v>
      </c>
      <c r="P11" s="77">
        <f>Лист3!O4</f>
        <v>6</v>
      </c>
      <c r="Q11" s="77">
        <f>Лист3!B25</f>
        <v>1</v>
      </c>
      <c r="R11" s="77">
        <f>Лист3!C25</f>
        <v>6</v>
      </c>
      <c r="S11" s="77">
        <f>Лист3!D25</f>
        <v>2</v>
      </c>
      <c r="T11" s="77">
        <f>Лист3!P4</f>
        <v>1</v>
      </c>
      <c r="U11" s="77" t="e">
        <f>Лист3!Q4</f>
        <v>#REF!</v>
      </c>
      <c r="V11" s="77" t="e">
        <f>Лист3!R4</f>
        <v>#REF!</v>
      </c>
      <c r="W11" s="77">
        <f>Лист3!F25</f>
        <v>5</v>
      </c>
      <c r="X11" s="74" t="s">
        <v>172</v>
      </c>
    </row>
    <row r="12" spans="2:24" s="72" customFormat="1" ht="42" customHeight="1">
      <c r="B12" s="77" t="s">
        <v>133</v>
      </c>
      <c r="C12" s="77">
        <f>Лист3!B5</f>
        <v>6</v>
      </c>
      <c r="D12" s="77">
        <f>Лист3!C5</f>
        <v>0</v>
      </c>
      <c r="E12" s="77">
        <f>Лист3!D5</f>
        <v>0</v>
      </c>
      <c r="F12" s="77">
        <f>Лист3!F5</f>
        <v>2</v>
      </c>
      <c r="G12" s="77">
        <f>Лист3!G5</f>
        <v>71</v>
      </c>
      <c r="H12" s="77">
        <f>Лист3!H5</f>
        <v>55</v>
      </c>
      <c r="I12" s="77">
        <f>Лист3!I5</f>
        <v>4420.5599999999995</v>
      </c>
      <c r="J12" s="77">
        <f>Лист3!J5</f>
        <v>800</v>
      </c>
      <c r="K12" s="77">
        <f>Лист3!K5</f>
        <v>3620.56</v>
      </c>
      <c r="L12" s="165">
        <f>Лист3!L5</f>
        <v>3618</v>
      </c>
      <c r="M12" s="77">
        <f>Лист3!M5</f>
        <v>700</v>
      </c>
      <c r="N12" s="77">
        <f>Лист3!N5</f>
        <v>2918</v>
      </c>
      <c r="O12" s="77">
        <f>Лист3!E26</f>
        <v>0</v>
      </c>
      <c r="P12" s="77">
        <f>Лист3!O5</f>
        <v>1</v>
      </c>
      <c r="Q12" s="77">
        <f>Лист3!B26</f>
        <v>0</v>
      </c>
      <c r="R12" s="77">
        <f>Лист3!C26</f>
        <v>0</v>
      </c>
      <c r="S12" s="77">
        <f>Лист3!D26</f>
        <v>0</v>
      </c>
      <c r="T12" s="77">
        <f>Лист3!P5</f>
        <v>1</v>
      </c>
      <c r="U12" s="77"/>
      <c r="V12" s="77"/>
      <c r="W12" s="77"/>
      <c r="X12" s="78" t="str">
        <f>Лист3!S5</f>
        <v> </v>
      </c>
    </row>
    <row r="13" spans="2:24" s="72" customFormat="1" ht="57" customHeight="1">
      <c r="B13" s="77" t="s">
        <v>134</v>
      </c>
      <c r="C13" s="77">
        <f>Лист3!B6</f>
        <v>0</v>
      </c>
      <c r="D13" s="77">
        <f>Лист3!C6</f>
        <v>0</v>
      </c>
      <c r="E13" s="77">
        <f>Лист3!D6</f>
        <v>0</v>
      </c>
      <c r="F13" s="77">
        <f>Лист3!F6</f>
        <v>0</v>
      </c>
      <c r="G13" s="77" t="str">
        <f>Лист3!G6</f>
        <v> </v>
      </c>
      <c r="H13" s="77" t="str">
        <f>Лист3!H6</f>
        <v> </v>
      </c>
      <c r="I13" s="77" t="str">
        <f>Лист3!I6</f>
        <v> </v>
      </c>
      <c r="J13" s="77" t="str">
        <f>Лист3!J6</f>
        <v> </v>
      </c>
      <c r="K13" s="77" t="str">
        <f>Лист3!K6</f>
        <v> </v>
      </c>
      <c r="L13" s="165" t="str">
        <f>Лист3!L6</f>
        <v> </v>
      </c>
      <c r="M13" s="77" t="str">
        <f>Лист3!M6</f>
        <v> </v>
      </c>
      <c r="N13" s="77" t="str">
        <f>Лист3!N6</f>
        <v> </v>
      </c>
      <c r="O13" s="77">
        <f>Лист3!E27</f>
        <v>0</v>
      </c>
      <c r="P13" s="77">
        <f>Лист3!O6</f>
        <v>0</v>
      </c>
      <c r="Q13" s="77">
        <f>Лист3!B27</f>
        <v>0</v>
      </c>
      <c r="R13" s="77">
        <f>Лист3!C27</f>
        <v>0</v>
      </c>
      <c r="S13" s="77">
        <f>Лист3!D27</f>
        <v>0</v>
      </c>
      <c r="T13" s="77">
        <f>Лист3!P6</f>
        <v>0</v>
      </c>
      <c r="U13" s="77"/>
      <c r="V13" s="77"/>
      <c r="W13" s="77"/>
      <c r="X13" s="78" t="str">
        <f>Лист3!S6</f>
        <v> </v>
      </c>
    </row>
    <row r="14" ht="57" customHeight="1">
      <c r="B14" s="71" t="s">
        <v>135</v>
      </c>
    </row>
    <row r="15" spans="2:3" ht="20.25">
      <c r="B15" s="75" t="s">
        <v>7</v>
      </c>
      <c r="C15" s="79">
        <v>8</v>
      </c>
    </row>
    <row r="16" spans="2:3" ht="182.25">
      <c r="B16" s="77" t="s">
        <v>176</v>
      </c>
      <c r="C16" s="79">
        <v>4</v>
      </c>
    </row>
    <row r="18" ht="20.25">
      <c r="B18" s="71" t="s">
        <v>189</v>
      </c>
    </row>
    <row r="19" spans="2:8" s="72" customFormat="1" ht="93.75" customHeight="1">
      <c r="B19" s="240" t="s">
        <v>136</v>
      </c>
      <c r="C19" s="240" t="s">
        <v>142</v>
      </c>
      <c r="D19" s="240" t="s">
        <v>141</v>
      </c>
      <c r="E19" s="240" t="s">
        <v>154</v>
      </c>
      <c r="F19" s="240" t="s">
        <v>177</v>
      </c>
      <c r="G19" s="240" t="s">
        <v>4</v>
      </c>
      <c r="H19" s="240"/>
    </row>
    <row r="20" spans="2:8" s="72" customFormat="1" ht="20.25">
      <c r="B20" s="240"/>
      <c r="C20" s="240"/>
      <c r="D20" s="240"/>
      <c r="E20" s="240"/>
      <c r="F20" s="240"/>
      <c r="G20" s="77" t="s">
        <v>5</v>
      </c>
      <c r="H20" s="77" t="s">
        <v>6</v>
      </c>
    </row>
    <row r="21" spans="2:8" s="72" customFormat="1" ht="20.25">
      <c r="B21" s="80" t="s">
        <v>7</v>
      </c>
      <c r="C21" s="77">
        <f>Лист3!B21</f>
        <v>32</v>
      </c>
      <c r="D21" s="77">
        <f>Лист3!C21</f>
        <v>0</v>
      </c>
      <c r="E21" s="77">
        <f>Лист3!D21</f>
        <v>2</v>
      </c>
      <c r="F21" s="77">
        <f>Лист3!E21</f>
        <v>52</v>
      </c>
      <c r="G21" s="77">
        <f>Лист3!F21</f>
        <v>777.7</v>
      </c>
      <c r="H21" s="77">
        <f>Лист3!G21</f>
        <v>637.6</v>
      </c>
    </row>
    <row r="22" spans="2:8" s="72" customFormat="1" ht="30" customHeight="1">
      <c r="B22" s="77" t="s">
        <v>160</v>
      </c>
      <c r="C22" s="77">
        <f>Лист3!B16</f>
        <v>6</v>
      </c>
      <c r="D22" s="77">
        <f>Лист3!C16</f>
        <v>0</v>
      </c>
      <c r="E22" s="77">
        <f>Лист3!D16</f>
        <v>1</v>
      </c>
      <c r="F22" s="77">
        <f>Лист3!E16</f>
        <v>6</v>
      </c>
      <c r="G22" s="77">
        <f>Лист3!F16</f>
        <v>69.5</v>
      </c>
      <c r="H22" s="77">
        <f>Лист3!G16</f>
        <v>69.5</v>
      </c>
    </row>
    <row r="23" spans="2:8" s="72" customFormat="1" ht="33.75" customHeight="1">
      <c r="B23" s="77" t="s">
        <v>161</v>
      </c>
      <c r="C23" s="77">
        <f>Лист3!B20</f>
        <v>26</v>
      </c>
      <c r="D23" s="77">
        <f>Лист3!C20</f>
        <v>0</v>
      </c>
      <c r="E23" s="77">
        <f>Лист3!D20</f>
        <v>1</v>
      </c>
      <c r="F23" s="77">
        <f>Лист3!E20</f>
        <v>46</v>
      </c>
      <c r="G23" s="77">
        <f>Лист3!F20</f>
        <v>708.2</v>
      </c>
      <c r="H23" s="77">
        <f>Лист3!G20</f>
        <v>568.1</v>
      </c>
    </row>
    <row r="24" spans="2:8" s="72" customFormat="1" ht="61.5" customHeight="1">
      <c r="B24" s="77" t="s">
        <v>162</v>
      </c>
      <c r="C24" s="77">
        <f>Лист3!B13</f>
        <v>2</v>
      </c>
      <c r="D24" s="77">
        <f>Лист3!C13</f>
        <v>0</v>
      </c>
      <c r="E24" s="77">
        <f>Лист3!D13</f>
        <v>1</v>
      </c>
      <c r="F24" s="77">
        <f>Лист3!E13</f>
        <v>3</v>
      </c>
      <c r="G24" s="77">
        <f>Лист3!F13</f>
        <v>21</v>
      </c>
      <c r="H24" s="77">
        <f>Лист3!G13</f>
        <v>21</v>
      </c>
    </row>
    <row r="25" spans="2:8" s="72" customFormat="1" ht="40.5">
      <c r="B25" s="77" t="s">
        <v>156</v>
      </c>
      <c r="C25" s="77">
        <f>Лист3!B14</f>
        <v>4</v>
      </c>
      <c r="D25" s="77">
        <f>Лист3!C14</f>
        <v>0</v>
      </c>
      <c r="E25" s="77">
        <f>Лист3!D14</f>
        <v>0</v>
      </c>
      <c r="F25" s="77">
        <f>Лист3!E14</f>
        <v>3</v>
      </c>
      <c r="G25" s="77">
        <f>Лист3!F14</f>
        <v>48.5</v>
      </c>
      <c r="H25" s="77">
        <f>Лист3!G14</f>
        <v>48.5</v>
      </c>
    </row>
    <row r="26" spans="2:8" s="72" customFormat="1" ht="40.5">
      <c r="B26" s="77" t="s">
        <v>163</v>
      </c>
      <c r="C26" s="77">
        <f>Лист3!B15</f>
        <v>0</v>
      </c>
      <c r="D26" s="77">
        <f>Лист3!C15</f>
        <v>0</v>
      </c>
      <c r="E26" s="77">
        <f>Лист3!D15</f>
        <v>0</v>
      </c>
      <c r="F26" s="77">
        <f>Лист3!E15</f>
        <v>0</v>
      </c>
      <c r="G26" s="77">
        <f>Лист3!F15</f>
        <v>0</v>
      </c>
      <c r="H26" s="77">
        <f>Лист3!G15</f>
        <v>0</v>
      </c>
    </row>
    <row r="27" spans="2:8" s="72" customFormat="1" ht="40.5">
      <c r="B27" s="77" t="s">
        <v>157</v>
      </c>
      <c r="C27" s="77">
        <f>Лист3!B17</f>
        <v>6</v>
      </c>
      <c r="D27" s="77">
        <f>Лист3!C17</f>
        <v>0</v>
      </c>
      <c r="E27" s="77">
        <f>Лист3!D17</f>
        <v>1</v>
      </c>
      <c r="F27" s="77">
        <f>Лист3!E17</f>
        <v>15</v>
      </c>
      <c r="G27" s="77">
        <f>Лист3!F17</f>
        <v>236</v>
      </c>
      <c r="H27" s="77">
        <f>Лист3!G17</f>
        <v>184</v>
      </c>
    </row>
    <row r="28" spans="2:8" s="72" customFormat="1" ht="40.5">
      <c r="B28" s="77" t="s">
        <v>158</v>
      </c>
      <c r="C28" s="77">
        <f>Лист3!B18</f>
        <v>17</v>
      </c>
      <c r="D28" s="77">
        <f>Лист3!C18</f>
        <v>0</v>
      </c>
      <c r="E28" s="77">
        <f>Лист3!D18</f>
        <v>0</v>
      </c>
      <c r="F28" s="77">
        <f>Лист3!E18</f>
        <v>28</v>
      </c>
      <c r="G28" s="77">
        <f>Лист3!F18</f>
        <v>414.2</v>
      </c>
      <c r="H28" s="77">
        <f>Лист3!G18</f>
        <v>335.1</v>
      </c>
    </row>
    <row r="29" spans="2:8" s="72" customFormat="1" ht="60.75">
      <c r="B29" s="77" t="s">
        <v>159</v>
      </c>
      <c r="C29" s="77">
        <f>Лист3!B19</f>
        <v>3</v>
      </c>
      <c r="D29" s="77">
        <f>Лист3!C19</f>
        <v>0</v>
      </c>
      <c r="E29" s="77">
        <f>Лист3!D19</f>
        <v>0</v>
      </c>
      <c r="F29" s="77">
        <f>Лист3!E19</f>
        <v>3</v>
      </c>
      <c r="G29" s="77">
        <f>Лист3!F19</f>
        <v>58</v>
      </c>
      <c r="H29" s="77">
        <f>Лист3!G19</f>
        <v>49</v>
      </c>
    </row>
    <row r="31" ht="20.25">
      <c r="B31" s="71" t="s">
        <v>165</v>
      </c>
    </row>
    <row r="32" spans="2:3" ht="20.25">
      <c r="B32" s="75" t="s">
        <v>7</v>
      </c>
      <c r="C32" s="79">
        <v>0</v>
      </c>
    </row>
    <row r="34" ht="20.25">
      <c r="B34" s="71" t="s">
        <v>192</v>
      </c>
    </row>
    <row r="35" spans="2:5" ht="20.25">
      <c r="B35" s="240" t="s">
        <v>136</v>
      </c>
      <c r="C35" s="240" t="s">
        <v>142</v>
      </c>
      <c r="D35" s="240" t="s">
        <v>141</v>
      </c>
      <c r="E35" s="240" t="s">
        <v>177</v>
      </c>
    </row>
    <row r="36" spans="2:5" ht="20.25">
      <c r="B36" s="240"/>
      <c r="C36" s="240"/>
      <c r="D36" s="240"/>
      <c r="E36" s="240"/>
    </row>
    <row r="37" spans="2:5" ht="20.25">
      <c r="B37" s="80" t="s">
        <v>7</v>
      </c>
      <c r="C37" s="77">
        <f>C38+C39</f>
        <v>20</v>
      </c>
      <c r="D37" s="77">
        <f>'Печатная продукция'!J31</f>
        <v>0</v>
      </c>
      <c r="E37" s="77">
        <f>'Печатная продукция'!M31</f>
        <v>21</v>
      </c>
    </row>
    <row r="38" spans="2:5" ht="20.25">
      <c r="B38" s="84" t="s">
        <v>160</v>
      </c>
      <c r="C38" s="84">
        <f>'Печатная продукция'!L31</f>
        <v>2</v>
      </c>
      <c r="D38" s="84"/>
      <c r="E38" s="84"/>
    </row>
    <row r="39" spans="2:5" ht="20.25">
      <c r="B39" s="84" t="s">
        <v>196</v>
      </c>
      <c r="C39" s="84">
        <f>'Печатная продукция'!K31</f>
        <v>18</v>
      </c>
      <c r="D39" s="84"/>
      <c r="E39" s="84"/>
    </row>
    <row r="41" ht="20.25">
      <c r="B41" s="71" t="s">
        <v>193</v>
      </c>
    </row>
    <row r="42" spans="2:3" ht="20.25">
      <c r="B42" s="75" t="s">
        <v>7</v>
      </c>
      <c r="C42" s="79">
        <v>0</v>
      </c>
    </row>
  </sheetData>
  <sheetProtection password="CC61" sheet="1" formatCells="0" formatColumns="0" formatRows="0"/>
  <mergeCells count="35">
    <mergeCell ref="B35:B36"/>
    <mergeCell ref="C35:C36"/>
    <mergeCell ref="D35:D36"/>
    <mergeCell ref="E35:E36"/>
    <mergeCell ref="B1:V1"/>
    <mergeCell ref="W3:W6"/>
    <mergeCell ref="D8:W8"/>
    <mergeCell ref="B19:B20"/>
    <mergeCell ref="C19:C20"/>
    <mergeCell ref="D19:D20"/>
    <mergeCell ref="E19:E20"/>
    <mergeCell ref="F19:F20"/>
    <mergeCell ref="G19:H19"/>
    <mergeCell ref="G3:G6"/>
    <mergeCell ref="H3:H6"/>
    <mergeCell ref="I3:N3"/>
    <mergeCell ref="I5:I6"/>
    <mergeCell ref="L5:L6"/>
    <mergeCell ref="B3:B6"/>
    <mergeCell ref="C3:C6"/>
    <mergeCell ref="D3:D6"/>
    <mergeCell ref="E3:E6"/>
    <mergeCell ref="F3:F6"/>
    <mergeCell ref="O3:O6"/>
    <mergeCell ref="I4:K4"/>
    <mergeCell ref="L4:N4"/>
    <mergeCell ref="J5:K5"/>
    <mergeCell ref="M5:N5"/>
    <mergeCell ref="U3:U6"/>
    <mergeCell ref="V3:V6"/>
    <mergeCell ref="P3:P6"/>
    <mergeCell ref="Q3:Q6"/>
    <mergeCell ref="R3:R6"/>
    <mergeCell ref="S3:S6"/>
    <mergeCell ref="T3:T6"/>
  </mergeCells>
  <printOptions/>
  <pageMargins left="0.11811023622047245" right="0.11811023622047245" top="0.15748031496062992" bottom="0.1968503937007874" header="0.31496062992125984" footer="0.31496062992125984"/>
  <pageSetup fitToHeight="1" fitToWidth="1" horizontalDpi="600" verticalDpi="600" orientation="landscape" paperSize="9" scale="32" r:id="rId1"/>
  <rowBreaks count="1" manualBreakCount="1">
    <brk id="1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41.421875" style="0" customWidth="1"/>
  </cols>
  <sheetData>
    <row r="1" ht="20.25">
      <c r="A1" s="2" t="s">
        <v>30</v>
      </c>
    </row>
    <row r="2" ht="20.25">
      <c r="A2" s="2" t="s">
        <v>31</v>
      </c>
    </row>
    <row r="3" ht="20.25">
      <c r="A3" s="2" t="s">
        <v>32</v>
      </c>
    </row>
    <row r="4" ht="20.25">
      <c r="A4" s="2" t="s">
        <v>55</v>
      </c>
    </row>
    <row r="5" ht="20.25">
      <c r="A5" s="2" t="s">
        <v>56</v>
      </c>
    </row>
    <row r="6" ht="20.25">
      <c r="A6" s="2" t="s">
        <v>33</v>
      </c>
    </row>
    <row r="7" ht="20.25">
      <c r="A7" s="2" t="s">
        <v>34</v>
      </c>
    </row>
    <row r="8" ht="20.25">
      <c r="A8" s="2" t="s">
        <v>35</v>
      </c>
    </row>
    <row r="9" ht="20.25">
      <c r="A9" s="2" t="s">
        <v>36</v>
      </c>
    </row>
    <row r="10" ht="20.25">
      <c r="A10" s="2" t="s">
        <v>37</v>
      </c>
    </row>
    <row r="11" ht="20.25">
      <c r="A11" s="2" t="s">
        <v>38</v>
      </c>
    </row>
    <row r="12" ht="20.25">
      <c r="A12" s="2" t="s">
        <v>39</v>
      </c>
    </row>
    <row r="13" ht="20.25">
      <c r="A13" s="2" t="s">
        <v>40</v>
      </c>
    </row>
    <row r="14" ht="20.25">
      <c r="A14" s="2" t="s">
        <v>41</v>
      </c>
    </row>
    <row r="15" ht="20.25">
      <c r="A15" s="2" t="s">
        <v>42</v>
      </c>
    </row>
    <row r="16" ht="20.25">
      <c r="A16" s="2" t="s">
        <v>43</v>
      </c>
    </row>
    <row r="17" ht="20.25">
      <c r="A17" s="2" t="s">
        <v>44</v>
      </c>
    </row>
    <row r="18" ht="20.25">
      <c r="A18" s="2" t="s">
        <v>45</v>
      </c>
    </row>
    <row r="19" ht="20.25">
      <c r="A19" s="2" t="s">
        <v>46</v>
      </c>
    </row>
    <row r="20" ht="20.25">
      <c r="A20" s="2" t="s">
        <v>47</v>
      </c>
    </row>
    <row r="21" ht="20.25">
      <c r="A21" s="2" t="s">
        <v>48</v>
      </c>
    </row>
    <row r="22" ht="20.25">
      <c r="A22" s="2" t="s">
        <v>49</v>
      </c>
    </row>
    <row r="23" ht="20.25">
      <c r="A23" s="2" t="s">
        <v>50</v>
      </c>
    </row>
    <row r="24" ht="20.25">
      <c r="A24" s="2" t="s">
        <v>51</v>
      </c>
    </row>
    <row r="25" ht="20.25">
      <c r="A25" s="2" t="s">
        <v>52</v>
      </c>
    </row>
    <row r="26" ht="20.25">
      <c r="A26" s="2" t="s">
        <v>53</v>
      </c>
    </row>
    <row r="27" ht="20.25">
      <c r="A27" s="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="90" zoomScaleSheetLayoutView="90" zoomScalePageLayoutView="0" workbookViewId="0" topLeftCell="A1">
      <selection activeCell="E18" sqref="E18"/>
    </sheetView>
  </sheetViews>
  <sheetFormatPr defaultColWidth="9.140625" defaultRowHeight="15"/>
  <cols>
    <col min="1" max="1" width="44.00390625" style="34" customWidth="1"/>
    <col min="2" max="3" width="12.00390625" style="34" customWidth="1"/>
    <col min="4" max="4" width="17.7109375" style="34" customWidth="1"/>
    <col min="5" max="5" width="10.28125" style="34" customWidth="1"/>
    <col min="6" max="6" width="11.28125" style="34" customWidth="1"/>
    <col min="7" max="7" width="9.140625" style="34" customWidth="1"/>
    <col min="8" max="8" width="10.8515625" style="34" customWidth="1"/>
    <col min="9" max="14" width="9.140625" style="34" customWidth="1"/>
    <col min="15" max="15" width="11.8515625" style="34" customWidth="1"/>
    <col min="16" max="16" width="16.7109375" style="34" customWidth="1"/>
    <col min="17" max="17" width="13.421875" style="34" customWidth="1"/>
    <col min="18" max="18" width="12.421875" style="34" customWidth="1"/>
    <col min="19" max="16384" width="9.140625" style="34" customWidth="1"/>
  </cols>
  <sheetData>
    <row r="1" spans="2:18" ht="99" customHeight="1">
      <c r="B1" s="35" t="s">
        <v>27</v>
      </c>
      <c r="C1" s="35" t="s">
        <v>75</v>
      </c>
      <c r="D1" s="35" t="s">
        <v>58</v>
      </c>
      <c r="E1" s="35" t="s">
        <v>10</v>
      </c>
      <c r="F1" s="35" t="s">
        <v>11</v>
      </c>
      <c r="G1" s="35" t="s">
        <v>59</v>
      </c>
      <c r="H1" s="35" t="s">
        <v>60</v>
      </c>
      <c r="I1" s="35" t="s">
        <v>61</v>
      </c>
      <c r="J1" s="35" t="s">
        <v>62</v>
      </c>
      <c r="K1" s="35" t="s">
        <v>63</v>
      </c>
      <c r="L1" s="35" t="s">
        <v>64</v>
      </c>
      <c r="M1" s="35" t="s">
        <v>65</v>
      </c>
      <c r="N1" s="35" t="s">
        <v>66</v>
      </c>
      <c r="O1" s="35" t="s">
        <v>78</v>
      </c>
      <c r="P1" s="95" t="s">
        <v>197</v>
      </c>
      <c r="Q1" s="35" t="s">
        <v>125</v>
      </c>
      <c r="R1" s="35" t="s">
        <v>126</v>
      </c>
    </row>
    <row r="2" spans="1:18" ht="15">
      <c r="A2" s="34" t="s">
        <v>25</v>
      </c>
      <c r="B2" s="34">
        <f>VLOOKUP("ИТОГО продовольственные магазины",'Стационарные торговые объекты'!C11:AB126,5,0)</f>
        <v>18</v>
      </c>
      <c r="C2" s="34">
        <f>VLOOKUP("ИТОГО продовольственные магазины",'Стационарные торговые объекты'!C11:AB126,11,0)</f>
        <v>3</v>
      </c>
      <c r="D2" s="34">
        <f>VLOOKUP("ИТОГО продовольственные магазины",'Стационарные торговые объекты'!C11:AB126,12,0)</f>
        <v>2</v>
      </c>
      <c r="E2" s="34">
        <f>VLOOKUP("ИТОГО продовольственные магазины",'Стационарные торговые объекты'!C11:AB126,13,0)</f>
        <v>17</v>
      </c>
      <c r="F2" s="34">
        <f>VLOOKUP("ИТОГО продовольственные магазины",'Стационарные торговые объекты'!C11:AB126,14,0)</f>
        <v>1</v>
      </c>
      <c r="G2" s="34">
        <f>VLOOKUP("ИТОГО продовольственные магазины",'Стационарные торговые объекты'!C11:AB126,15,0)</f>
        <v>52</v>
      </c>
      <c r="H2" s="34">
        <f>VLOOKUP("ИТОГО продовольственные магазины",'Стационарные торговые объекты'!C11:AB126,16,0)</f>
        <v>44</v>
      </c>
      <c r="I2" s="34">
        <f>VLOOKUP("ИТОГО продовольственные магазины",'Стационарные торговые объекты'!C11:AB126,17,0)</f>
        <v>1334.4699999999998</v>
      </c>
      <c r="J2" s="34">
        <f>VLOOKUP("ИТОГО продовольственные магазины",'Стационарные торговые объекты'!C11:AB126,18,0)</f>
        <v>1293.37</v>
      </c>
      <c r="K2" s="34">
        <f>VLOOKUP("ИТОГО продовольственные магазины",'Стационарные торговые объекты'!C11:AB126,19,0)</f>
        <v>41.1</v>
      </c>
      <c r="L2" s="34">
        <f>VLOOKUP("ИТОГО продовольственные магазины",'Стационарные торговые объекты'!C11:AB126,20,0)</f>
        <v>790.8499999999999</v>
      </c>
      <c r="M2" s="34">
        <f>VLOOKUP("ИТОГО продовольственные магазины",'Стационарные торговые объекты'!C11:AB126,21,0)</f>
        <v>765.3499999999999</v>
      </c>
      <c r="N2" s="34">
        <f>VLOOKUP("ИТОГО продовольственные магазины",'Стационарные торговые объекты'!C11:AB126,22,0)</f>
        <v>25.5</v>
      </c>
      <c r="O2" s="34">
        <f>VLOOKUP("ИТОГО продовольственные магазины",'Стационарные торговые объекты'!C11:AB126,25,0)</f>
        <v>11</v>
      </c>
      <c r="P2" s="34">
        <f>VLOOKUP("ИТОГО продовольственные магазины",'Стационарные торговые объекты'!C11:AB126,26,0)</f>
        <v>1</v>
      </c>
      <c r="Q2" s="34" t="e">
        <f>VLOOKUP("ИТОГО продовольственные магазины",'Стационарные торговые объекты'!C11:AB126,27,0)</f>
        <v>#REF!</v>
      </c>
      <c r="R2" s="34" t="e">
        <f>VLOOKUP("ИТОГО продовольственные магазины",'Стационарные торговые объекты'!C11:AB126,28,0)</f>
        <v>#REF!</v>
      </c>
    </row>
    <row r="3" spans="1:16" ht="15">
      <c r="A3" s="34" t="s">
        <v>26</v>
      </c>
      <c r="B3" s="34">
        <f>VLOOKUP("ИТОГО непродовольственные магазины",'Стационарные торговые объекты'!C11:AB126,5,0)</f>
        <v>32</v>
      </c>
      <c r="C3" s="34">
        <f>VLOOKUP("ИТОГО непродовольственные магазины",'Стационарные торговые объекты'!C11:AB126,11,0)</f>
        <v>0</v>
      </c>
      <c r="D3" s="34">
        <f>VLOOKUP("ИТОГО непродовольственные магазины",'Стационарные торговые объекты'!C11:AB126,12,0)</f>
        <v>0</v>
      </c>
      <c r="E3" s="34">
        <f>VLOOKUP("ИТОГО непродовольственные магазины",'Стационарные торговые объекты'!C11:AB126,13,0)</f>
        <v>10</v>
      </c>
      <c r="F3" s="34">
        <f>VLOOKUP("ИТОГО непродовольственные магазины",'Стационарные торговые объекты'!C11:AB126,14,0)</f>
        <v>17</v>
      </c>
      <c r="G3" s="34">
        <f>VLOOKUP("ИТОГО непродовольственные магазины",'Стационарные торговые объекты'!C11:AB126,15,0)</f>
        <v>100</v>
      </c>
      <c r="H3" s="34">
        <f>VLOOKUP("ИТОГО непродовольственные магазины",'Стационарные торговые объекты'!C11:AB126,16,0)</f>
        <v>77</v>
      </c>
      <c r="I3" s="34">
        <f>VLOOKUP("ИТОГО непродовольственные магазины",'Стационарные торговые объекты'!C11:AB126,17,0)</f>
        <v>3431.0000000000005</v>
      </c>
      <c r="J3" s="34" t="str">
        <f>VLOOKUP("ИТОГО непродовольственные магазины",'Стационарные торговые объекты'!C11:AB126,18,0)</f>
        <v> </v>
      </c>
      <c r="K3" s="34">
        <f>VLOOKUP("ИТОГО непродовольственные магазины",'Стационарные торговые объекты'!C11:AB126,19,0)</f>
        <v>3431.0000000000005</v>
      </c>
      <c r="L3" s="34">
        <f>VLOOKUP("ИТОГО непродовольственные магазины",'Стационарные торговые объекты'!C11:AB126,20,0)</f>
        <v>2019.1</v>
      </c>
      <c r="M3" s="34" t="str">
        <f>VLOOKUP("ИТОГО непродовольственные магазины",'Стационарные торговые объекты'!C11:AB126,21,0)</f>
        <v> </v>
      </c>
      <c r="N3" s="34">
        <f>VLOOKUP("ИТОГО непродовольственные магазины",'Стационарные торговые объекты'!C11:AB126,22,0)</f>
        <v>2019.1</v>
      </c>
      <c r="O3" s="34">
        <f>VLOOKUP("ИТОГО непродовольственные магазины",'Стационарные торговые объекты'!C11:AB126,25,0)</f>
        <v>9</v>
      </c>
      <c r="P3" s="34">
        <f>VLOOKUP("ИТОГО непродовольственные магазины",'Стационарные торговые объекты'!C11:AB126,26,0)</f>
        <v>1</v>
      </c>
    </row>
    <row r="4" spans="1:19" ht="30.75" customHeight="1">
      <c r="A4" s="34" t="s">
        <v>68</v>
      </c>
      <c r="B4" s="34">
        <f>VLOOKUP("ИТОГО магазины со смешанным ассортиментом",'Стационарные торговые объекты'!C11:AB126,5,0)</f>
        <v>45</v>
      </c>
      <c r="C4" s="34">
        <f>VLOOKUP("ИТОГО магазины со смешанным ассортиментом",'Стационарные торговые объекты'!C11:AB126,11,0)</f>
        <v>5</v>
      </c>
      <c r="D4" s="34">
        <f>VLOOKUP("ИТОГО магазины со смешанным ассортиментом",'Стационарные торговые объекты'!C11:AB126,12,0)</f>
        <v>0</v>
      </c>
      <c r="E4" s="34">
        <f>VLOOKUP("ИТОГО магазины со смешанным ассортиментом",'Стационарные торговые объекты'!C11:AB126,13,0)</f>
        <v>27</v>
      </c>
      <c r="F4" s="34">
        <f>VLOOKUP("ИТОГО магазины со смешанным ассортиментом",'Стационарные торговые объекты'!C11:AB126,14,0)</f>
        <v>18</v>
      </c>
      <c r="G4" s="34">
        <f>VLOOKUP("ИТОГО магазины со смешанным ассортиментом",'Стационарные торговые объекты'!C11:AB126,15,0)</f>
        <v>163</v>
      </c>
      <c r="H4" s="34">
        <f>VLOOKUP("ИТОГО магазины со смешанным ассортиментом",'Стационарные торговые объекты'!C11:AB126,16,0)</f>
        <v>135</v>
      </c>
      <c r="I4" s="34">
        <f>VLOOKUP("ИТОГО магазины со смешанным ассортиментом",'Стационарные торговые объекты'!C11:AB126,17,0)</f>
        <v>6176.8</v>
      </c>
      <c r="J4" s="34">
        <f>VLOOKUP("ИТОГО магазины со смешанным ассортиментом",'Стационарные торговые объекты'!C11:AB126,18,0)</f>
        <v>4696.700000000001</v>
      </c>
      <c r="K4" s="34">
        <f>VLOOKUP("ИТОГО магазины со смешанным ассортиментом",'Стационарные торговые объекты'!C11:AB126,19,0)</f>
        <v>1145.6</v>
      </c>
      <c r="L4" s="34">
        <f>VLOOKUP("ИТОГО магазины со смешанным ассортиментом",'Стационарные торговые объекты'!C11:AB126,20,0)</f>
        <v>3625.4000000000005</v>
      </c>
      <c r="M4" s="34">
        <f>VLOOKUP("ИТОГО магазины со смешанным ассортиментом",'Стационарные торговые объекты'!C11:AB126,21,0)</f>
        <v>2920.1000000000004</v>
      </c>
      <c r="N4" s="34">
        <f>VLOOKUP("ИТОГО магазины со смешанным ассортиментом",'Стационарные торговые объекты'!C11:AB126,22,0)</f>
        <v>705.3000000000001</v>
      </c>
      <c r="O4" s="34">
        <f>VLOOKUP("ИТОГО магазины со смешанным ассортиментом",'Стационарные торговые объекты'!C11:AB126,25,0)</f>
        <v>6</v>
      </c>
      <c r="P4" s="34">
        <f>VLOOKUP("ИТОГО магазины со смешанным ассортиментом",'Стационарные торговые объекты'!C11:AB126,26,0)</f>
        <v>1</v>
      </c>
      <c r="Q4" s="34" t="e">
        <f>VLOOKUP("ИТОГО магазины со смешанным ассортиментом",'Стационарные торговые объекты'!C11:AB126,27,0)</f>
        <v>#REF!</v>
      </c>
      <c r="R4" s="34" t="e">
        <f>VLOOKUP("ИТОГО магазины со смешанным ассортиментом",'Стационарные торговые объекты'!C11:AB126,28,0)</f>
        <v>#REF!</v>
      </c>
      <c r="S4" s="35" t="s">
        <v>173</v>
      </c>
    </row>
    <row r="5" spans="1:19" ht="15">
      <c r="A5" s="34" t="s">
        <v>28</v>
      </c>
      <c r="B5" s="34">
        <f>VLOOKUP("ИТОГО торговые центры",'Стационарные торговые объекты'!C11:AB126,5,0)</f>
        <v>6</v>
      </c>
      <c r="C5" s="34">
        <f>VLOOKUP("ИТОГО торговые центры",'Стационарные торговые объекты'!C11:AB126,11,0)</f>
        <v>0</v>
      </c>
      <c r="D5" s="34">
        <f>VLOOKUP("ИТОГО торговые центры",'Стационарные торговые объекты'!C11:AB126,12,0)</f>
        <v>0</v>
      </c>
      <c r="E5" s="34">
        <f>VLOOKUP("ИТОГО торговые центры",'Стационарные торговые объекты'!C11:AB126,13,0)</f>
        <v>0</v>
      </c>
      <c r="F5" s="34">
        <f>VLOOKUP("ИТОГО торговые центры",'Стационарные торговые объекты'!C11:AB126,14,0)</f>
        <v>2</v>
      </c>
      <c r="G5" s="34">
        <f>VLOOKUP("ИТОГО торговые центры",'Стационарные торговые объекты'!C11:AB126,15,0)</f>
        <v>71</v>
      </c>
      <c r="H5" s="34">
        <f>VLOOKUP("ИТОГО торговые центры",'Стационарные торговые объекты'!C30:X127,16,0)</f>
        <v>55</v>
      </c>
      <c r="I5" s="34">
        <f>VLOOKUP("ИТОГО торговые центры",'Стационарные торговые объекты'!C11:AB126,17,0)</f>
        <v>4420.5599999999995</v>
      </c>
      <c r="J5" s="34">
        <f>VLOOKUP("ИТОГО торговые центры",'Стационарные торговые объекты'!C11:AB126,18,0)</f>
        <v>800</v>
      </c>
      <c r="K5" s="34">
        <f>VLOOKUP("ИТОГО торговые центры",'Стационарные торговые объекты'!C11:AB126,19,0)</f>
        <v>3620.56</v>
      </c>
      <c r="L5" s="34">
        <f>VLOOKUP("ИТОГО торговые центры",'Стационарные торговые объекты'!C11:AB126,20,0)</f>
        <v>3618</v>
      </c>
      <c r="M5" s="34">
        <f>VLOOKUP("ИТОГО торговые центры",'Стационарные торговые объекты'!C11:AB126,21,0)</f>
        <v>700</v>
      </c>
      <c r="N5" s="34">
        <f>VLOOKUP("ИТОГО торговые центры",'Стационарные торговые объекты'!C11:AB126,22,0)</f>
        <v>2918</v>
      </c>
      <c r="O5" s="34">
        <f>VLOOKUP("ИТОГО торговые центры",'Стационарные торговые объекты'!C11:AB126,25,0)</f>
        <v>1</v>
      </c>
      <c r="P5" s="34">
        <f>VLOOKUP("ИТОГО торговые центры",'Стационарные торговые объекты'!C11:AB126,26,0)</f>
        <v>1</v>
      </c>
      <c r="S5" s="34" t="str">
        <f>VLOOKUP("ИТОГО торговые центры",'Стационарные торговые объекты'!C11:AB126,8,0)</f>
        <v> </v>
      </c>
    </row>
    <row r="6" spans="1:19" ht="15">
      <c r="A6" s="34" t="s">
        <v>29</v>
      </c>
      <c r="B6" s="34">
        <f>VLOOKUP("ИТОГО торговые комплексы",'Стационарные торговые объекты'!C11:AB126,5,0)</f>
        <v>0</v>
      </c>
      <c r="C6" s="34">
        <f>VLOOKUP("ИТОГО торговые комплексы",'Стационарные торговые объекты'!C11:AB126,11,0)</f>
        <v>0</v>
      </c>
      <c r="D6" s="34">
        <f>VLOOKUP("ИТОГО торговые комплексы",'Стационарные торговые объекты'!C11:AB126,12,0)</f>
        <v>0</v>
      </c>
      <c r="E6" s="34">
        <f>VLOOKUP("ИТОГО торговые комплексы",'Стационарные торговые объекты'!C11:AB126,13,0)</f>
        <v>0</v>
      </c>
      <c r="F6" s="34">
        <f>VLOOKUP("ИТОГО торговые комплексы",'Стационарные торговые объекты'!C11:AB126,14,0)</f>
        <v>0</v>
      </c>
      <c r="G6" s="34" t="str">
        <f>VLOOKUP("ИТОГО торговые комплексы",'Стационарные торговые объекты'!C11:AB126,15,0)</f>
        <v> </v>
      </c>
      <c r="H6" s="34" t="str">
        <f>VLOOKUP("ИТОГО торговые комплексы",'Стационарные торговые объекты'!C11:AB126,16,0)</f>
        <v> </v>
      </c>
      <c r="I6" s="34" t="str">
        <f>VLOOKUP("ИТОГО торговые комплексы",'Стационарные торговые объекты'!C11:AB126,17,0)</f>
        <v> </v>
      </c>
      <c r="J6" s="34" t="str">
        <f>VLOOKUP("ИТОГО торговые комплексы",'Стационарные торговые объекты'!C11:AB126,18,0)</f>
        <v> </v>
      </c>
      <c r="K6" s="34" t="str">
        <f>VLOOKUP("ИТОГО торговые комплексы",'Стационарные торговые объекты'!C11:AB126,19,0)</f>
        <v> </v>
      </c>
      <c r="L6" s="34" t="str">
        <f>VLOOKUP("ИТОГО торговые комплексы",'Стационарные торговые объекты'!C11:AB126,20,0)</f>
        <v> </v>
      </c>
      <c r="M6" s="34" t="str">
        <f>VLOOKUP("ИТОГО торговые комплексы",'Стационарные торговые объекты'!C11:AB126,21,0)</f>
        <v> </v>
      </c>
      <c r="N6" s="34" t="str">
        <f>VLOOKUP("ИТОГО торговые комплексы",'Стационарные торговые объекты'!C11:AB126,22,0)</f>
        <v> </v>
      </c>
      <c r="O6" s="34">
        <f>VLOOKUP("ИТОГО торговые комплексы",'Стационарные торговые объекты'!C11:AB126,25,0)</f>
        <v>0</v>
      </c>
      <c r="P6" s="34">
        <f>VLOOKUP("ИТОГО торговые комплексы",'Стационарные торговые объекты'!C11:AB126,26,0)</f>
        <v>0</v>
      </c>
      <c r="S6" s="34" t="str">
        <f>VLOOKUP("ИТОГО торговые комплексы",'Стационарные торговые объекты'!C11:AB126,8,0)</f>
        <v> </v>
      </c>
    </row>
    <row r="7" spans="1:18" ht="15">
      <c r="A7" s="36" t="s">
        <v>57</v>
      </c>
      <c r="B7" s="36">
        <f aca="true" t="shared" si="0" ref="B7:P7">SUM(B2:B6)</f>
        <v>101</v>
      </c>
      <c r="C7" s="36">
        <f t="shared" si="0"/>
        <v>8</v>
      </c>
      <c r="D7" s="36">
        <f t="shared" si="0"/>
        <v>2</v>
      </c>
      <c r="E7" s="36">
        <f t="shared" si="0"/>
        <v>54</v>
      </c>
      <c r="F7" s="36">
        <f t="shared" si="0"/>
        <v>38</v>
      </c>
      <c r="G7" s="36">
        <f t="shared" si="0"/>
        <v>386</v>
      </c>
      <c r="H7" s="36">
        <f t="shared" si="0"/>
        <v>311</v>
      </c>
      <c r="I7" s="36">
        <f t="shared" si="0"/>
        <v>15362.83</v>
      </c>
      <c r="J7" s="36">
        <f t="shared" si="0"/>
        <v>6790.070000000001</v>
      </c>
      <c r="K7" s="36">
        <f t="shared" si="0"/>
        <v>8238.26</v>
      </c>
      <c r="L7" s="36">
        <f t="shared" si="0"/>
        <v>10053.35</v>
      </c>
      <c r="M7" s="36">
        <f t="shared" si="0"/>
        <v>4385.450000000001</v>
      </c>
      <c r="N7" s="36">
        <f t="shared" si="0"/>
        <v>5667.9</v>
      </c>
      <c r="O7" s="36">
        <f t="shared" si="0"/>
        <v>27</v>
      </c>
      <c r="P7" s="36">
        <f t="shared" si="0"/>
        <v>4</v>
      </c>
      <c r="Q7" s="36" t="e">
        <f>SUM(Q2:Q6)</f>
        <v>#REF!</v>
      </c>
      <c r="R7" s="36" t="e">
        <f>SUM(R2:R6)</f>
        <v>#REF!</v>
      </c>
    </row>
    <row r="12" spans="2:15" ht="75">
      <c r="B12" s="35" t="s">
        <v>27</v>
      </c>
      <c r="C12" s="35" t="s">
        <v>75</v>
      </c>
      <c r="D12" s="35" t="s">
        <v>106</v>
      </c>
      <c r="E12" s="35" t="s">
        <v>59</v>
      </c>
      <c r="F12" s="35" t="s">
        <v>61</v>
      </c>
      <c r="G12" s="35" t="s">
        <v>105</v>
      </c>
      <c r="H12" s="35" t="s">
        <v>83</v>
      </c>
      <c r="I12" s="35" t="s">
        <v>87</v>
      </c>
      <c r="J12" s="35" t="s">
        <v>88</v>
      </c>
      <c r="K12" s="35" t="s">
        <v>87</v>
      </c>
      <c r="L12" s="35" t="s">
        <v>88</v>
      </c>
      <c r="M12" s="35"/>
      <c r="N12" s="35"/>
      <c r="O12" s="35"/>
    </row>
    <row r="13" spans="1:12" ht="15">
      <c r="A13" s="34" t="s">
        <v>98</v>
      </c>
      <c r="B13" s="34">
        <f>VLOOKUP("Итого киоски продовольственные",'Нестационарные торговые объекты'!C11:S61,4,0)</f>
        <v>2</v>
      </c>
      <c r="C13" s="34">
        <f>VLOOKUP("Итого киоски продовольственные",'Нестационарные торговые объекты'!C11:S61,7,0)</f>
        <v>0</v>
      </c>
      <c r="D13" s="34">
        <f>VLOOKUP("Итого киоски продовольственные",'Нестационарные торговые объекты'!C11:S61,8,0)</f>
        <v>1</v>
      </c>
      <c r="E13" s="34">
        <f>VLOOKUP("Итого киоски продовольственные",'Нестационарные торговые объекты'!C11:S61,9,0)</f>
        <v>3</v>
      </c>
      <c r="F13" s="34">
        <f>VLOOKUP("Итого киоски продовольственные",'Нестационарные торговые объекты'!C11:S61,10,0)</f>
        <v>21</v>
      </c>
      <c r="G13" s="34">
        <f>VLOOKUP("Итого киоски продовольственные",'Нестационарные торговые объекты'!C11:S61,11,0)</f>
        <v>21</v>
      </c>
      <c r="H13" s="34">
        <f>VLOOKUP("Итого киоски продовольственные",'Нестационарные торговые объекты'!C11:S61,13,0)</f>
        <v>2</v>
      </c>
      <c r="I13" s="34">
        <f>VLOOKUP("Итого киоски продовольственные",'Нестационарные торговые объекты'!C11:S61,14,0)</f>
        <v>0</v>
      </c>
      <c r="J13" s="34">
        <f>VLOOKUP("Итого киоски продовольственные",'Нестационарные торговые объекты'!C11:S61,15,0)</f>
        <v>0</v>
      </c>
      <c r="K13" s="34">
        <f>VLOOKUP("Итого киоски продовольственные",'Нестационарные торговые объекты'!C11:S61,16,0)</f>
        <v>0</v>
      </c>
      <c r="L13" s="34">
        <f>VLOOKUP("Итого киоски продовольственные",'Нестационарные торговые объекты'!C11:S61,17,0)</f>
        <v>0</v>
      </c>
    </row>
    <row r="14" spans="1:12" ht="15">
      <c r="A14" s="34" t="s">
        <v>99</v>
      </c>
      <c r="B14" s="34">
        <f>VLOOKUP("Итого киоски непродовольственные",'Нестационарные торговые объекты'!C11:S61,4,0)</f>
        <v>4</v>
      </c>
      <c r="C14" s="34">
        <f>VLOOKUP("Итого киоски непродовольственные",'Нестационарные торговые объекты'!C11:S61,7,0)</f>
        <v>0</v>
      </c>
      <c r="D14" s="34">
        <f>VLOOKUP("Итого киоски непродовольственные",'Нестационарные торговые объекты'!C11:S61,8,0)</f>
        <v>0</v>
      </c>
      <c r="E14" s="34">
        <f>VLOOKUP("Итого киоски непродовольственные",'Нестационарные торговые объекты'!C11:S61,9,0)</f>
        <v>3</v>
      </c>
      <c r="F14" s="34">
        <f>VLOOKUP("Итого киоски непродовольственные",'Нестационарные торговые объекты'!C11:S61,10,0)</f>
        <v>48.5</v>
      </c>
      <c r="G14" s="34">
        <f>VLOOKUP("Итого киоски непродовольственные",'Нестационарные торговые объекты'!C11:S61,11,0)</f>
        <v>48.5</v>
      </c>
      <c r="H14" s="34">
        <f>VLOOKUP("Итого киоски непродовольственные",'Нестационарные торговые объекты'!C11:S61,13,0)</f>
        <v>4</v>
      </c>
      <c r="I14" s="34">
        <f>VLOOKUP("Итого киоски непродовольственные",'Нестационарные торговые объекты'!C11:S61,14,0)</f>
        <v>0</v>
      </c>
      <c r="J14" s="34">
        <f>VLOOKUP("Итого киоски непродовольственные",'Нестационарные торговые объекты'!C11:S61,15,0)</f>
        <v>0</v>
      </c>
      <c r="K14" s="34">
        <f>VLOOKUP("Итого киоски непродовольственные",'Нестационарные торговые объекты'!C11:S61,16,0)</f>
        <v>0</v>
      </c>
      <c r="L14" s="34">
        <f>VLOOKUP("Итого киоски непродовольственные",'Нестационарные торговые объекты'!C11:S61,17,0)</f>
        <v>0</v>
      </c>
    </row>
    <row r="15" spans="1:12" ht="15">
      <c r="A15" s="34" t="s">
        <v>100</v>
      </c>
      <c r="B15" s="34">
        <f>VLOOKUP("Итого киоски со смешенным ассортиментом",'Нестационарные торговые объекты'!C11:S61,4,0)</f>
        <v>0</v>
      </c>
      <c r="C15" s="34">
        <f>VLOOKUP("Итого киоски со смешенным ассортиментом",'Нестационарные торговые объекты'!C11:S61,7,0)</f>
        <v>0</v>
      </c>
      <c r="D15" s="34">
        <f>VLOOKUP("Итого киоски со смешенным ассортиментом",'Нестационарные торговые объекты'!C11:S61,8,0)</f>
        <v>0</v>
      </c>
      <c r="E15" s="34">
        <f>VLOOKUP("Итого киоски со смешенным ассортиментом",'Нестационарные торговые объекты'!C11:S61,9,0)</f>
        <v>0</v>
      </c>
      <c r="F15" s="34">
        <f>VLOOKUP("Итого киоски со смешенным ассортиментом",'Нестационарные торговые объекты'!C11:S61,10,0)</f>
        <v>0</v>
      </c>
      <c r="G15" s="34">
        <f>VLOOKUP("Итого киоски со смешенным ассортиментом",'Нестационарные торговые объекты'!C11:S61,11,0)</f>
        <v>0</v>
      </c>
      <c r="H15" s="34">
        <f>VLOOKUP("Итого киоски со смешенным ассортиментом",'Нестационарные торговые объекты'!C11:S61,13,0)</f>
        <v>0</v>
      </c>
      <c r="I15" s="34">
        <f>VLOOKUP("Итого киоски со смешенным ассортиментом",'Нестационарные торговые объекты'!C11:S61,14,0)</f>
        <v>0</v>
      </c>
      <c r="J15" s="34">
        <f>VLOOKUP("Итого киоски со смешенным ассортиментом",'Нестационарные торговые объекты'!C11:S61,15,0)</f>
        <v>0</v>
      </c>
      <c r="K15" s="34">
        <f>VLOOKUP("Итого киоски со смешенным ассортиментом",'Нестационарные торговые объекты'!C11:S61,16,0)</f>
        <v>0</v>
      </c>
      <c r="L15" s="34">
        <f>VLOOKUP("Итого киоски со смешенным ассортиментом",'Нестационарные торговые объекты'!C11:S61,17,0)</f>
        <v>0</v>
      </c>
    </row>
    <row r="16" spans="1:12" ht="15">
      <c r="A16" s="34" t="s">
        <v>164</v>
      </c>
      <c r="B16" s="34">
        <f>SUM(B13:B15)</f>
        <v>6</v>
      </c>
      <c r="C16" s="34">
        <f aca="true" t="shared" si="1" ref="C16:L16">SUM(C13:C15)</f>
        <v>0</v>
      </c>
      <c r="D16" s="34">
        <f t="shared" si="1"/>
        <v>1</v>
      </c>
      <c r="E16" s="34">
        <f t="shared" si="1"/>
        <v>6</v>
      </c>
      <c r="F16" s="34">
        <f t="shared" si="1"/>
        <v>69.5</v>
      </c>
      <c r="G16" s="34">
        <f t="shared" si="1"/>
        <v>69.5</v>
      </c>
      <c r="H16" s="34">
        <f t="shared" si="1"/>
        <v>6</v>
      </c>
      <c r="I16" s="34">
        <f t="shared" si="1"/>
        <v>0</v>
      </c>
      <c r="J16" s="34">
        <f t="shared" si="1"/>
        <v>0</v>
      </c>
      <c r="K16" s="34">
        <f t="shared" si="1"/>
        <v>0</v>
      </c>
      <c r="L16" s="34">
        <f t="shared" si="1"/>
        <v>0</v>
      </c>
    </row>
    <row r="17" spans="1:12" ht="15">
      <c r="A17" s="34" t="s">
        <v>101</v>
      </c>
      <c r="B17" s="34">
        <f>VLOOKUP("Итого павильоны продовольственные",'Нестационарные торговые объекты'!C11:S61,4,0)</f>
        <v>6</v>
      </c>
      <c r="C17" s="34">
        <f>VLOOKUP("Итого павильоны продовольственные",'Нестационарные торговые объекты'!C11:S61,7,0)</f>
        <v>0</v>
      </c>
      <c r="D17" s="34">
        <f>VLOOKUP("Итого павильоны продовольственные",'Нестационарные торговые объекты'!C11:S61,8,0)</f>
        <v>1</v>
      </c>
      <c r="E17" s="34">
        <f>VLOOKUP("Итого павильоны продовольственные",'Нестационарные торговые объекты'!C11:S61,9,0)</f>
        <v>15</v>
      </c>
      <c r="F17" s="34">
        <f>VLOOKUP("Итого павильоны продовольственные",'Нестационарные торговые объекты'!C11:S61,10,0)</f>
        <v>236</v>
      </c>
      <c r="G17" s="34">
        <f>VLOOKUP("Итого павильоны продовольственные",'Нестационарные торговые объекты'!C11:S61,11,0)</f>
        <v>184</v>
      </c>
      <c r="H17" s="34">
        <f>VLOOKUP("Итого павильоны продовольственные",'Нестационарные торговые объекты'!C11:S61,13,0)</f>
        <v>6</v>
      </c>
      <c r="I17" s="34">
        <f>VLOOKUP("Итого павильоны продовольственные",'Нестационарные торговые объекты'!C11:S61,14,0)</f>
        <v>0</v>
      </c>
      <c r="J17" s="34">
        <f>VLOOKUP("Итого павильоны продовольственные",'Нестационарные торговые объекты'!C11:S61,15,0)</f>
        <v>0</v>
      </c>
      <c r="K17" s="34">
        <f>VLOOKUP("Итого павильоны продовольственные",'Нестационарные торговые объекты'!C11:S61,16,0)</f>
        <v>0</v>
      </c>
      <c r="L17" s="34">
        <f>VLOOKUP("Итого павильоны продовольственные",'Нестационарные торговые объекты'!C11:S61,17,0)</f>
        <v>0</v>
      </c>
    </row>
    <row r="18" spans="1:12" ht="15">
      <c r="A18" s="34" t="s">
        <v>102</v>
      </c>
      <c r="B18" s="34">
        <f>VLOOKUP("Итого павильоны непродовольственные",'Нестационарные торговые объекты'!C11:S61,4,0)</f>
        <v>17</v>
      </c>
      <c r="C18" s="34">
        <f>VLOOKUP("Итого павильоны непродовольственные",'Нестационарные торговые объекты'!C11:S61,7,0)</f>
        <v>0</v>
      </c>
      <c r="D18" s="34">
        <f>VLOOKUP("Итого павильоны непродовольственные",'Нестационарные торговые объекты'!C11:S61,8,0)</f>
        <v>0</v>
      </c>
      <c r="E18" s="34">
        <f>VLOOKUP("Итого павильоны непродовольственные",'Нестационарные торговые объекты'!C11:S61,9,0)</f>
        <v>28</v>
      </c>
      <c r="F18" s="34">
        <f>VLOOKUP("Итого павильоны непродовольственные",'Нестационарные торговые объекты'!C11:S61,10,0)</f>
        <v>414.2</v>
      </c>
      <c r="G18" s="34">
        <f>VLOOKUP("Итого павильоны непродовольственные",'Нестационарные торговые объекты'!C11:S61,11,0)</f>
        <v>335.1</v>
      </c>
      <c r="H18" s="34">
        <f>VLOOKUP("Итого павильоны непродовольственные",'Нестационарные торговые объекты'!C11:S61,13,0)</f>
        <v>17</v>
      </c>
      <c r="I18" s="34">
        <f>VLOOKUP("Итого павильоны непродовольственные",'Нестационарные торговые объекты'!C11:S61,14,0)</f>
        <v>0</v>
      </c>
      <c r="J18" s="34">
        <f>VLOOKUP("Итого павильоны непродовольственные",'Нестационарные торговые объекты'!C11:S61,15,0)</f>
        <v>0</v>
      </c>
      <c r="K18" s="34">
        <f>VLOOKUP("Итого павильоны непродовольственные",'Нестационарные торговые объекты'!C11:S61,16,0)</f>
        <v>0</v>
      </c>
      <c r="L18" s="34">
        <f>VLOOKUP("Итого павильоны непродовольственные",'Нестационарные торговые объекты'!C11:S61,17,0)</f>
        <v>0</v>
      </c>
    </row>
    <row r="19" spans="1:12" ht="15">
      <c r="A19" s="34" t="s">
        <v>103</v>
      </c>
      <c r="B19" s="34">
        <f>VLOOKUP("Итого павильоны со смешанным ассортиментом",'Нестационарные торговые объекты'!C11:S61,4,0)</f>
        <v>3</v>
      </c>
      <c r="C19" s="34">
        <f>VLOOKUP("Итого павильоны со смешанным ассортиментом",'Нестационарные торговые объекты'!C11:S61,7,0)</f>
        <v>0</v>
      </c>
      <c r="D19" s="34">
        <f>VLOOKUP("Итого павильоны со смешанным ассортиментом",'Нестационарные торговые объекты'!C11:S61,8,0)</f>
        <v>0</v>
      </c>
      <c r="E19" s="34">
        <f>VLOOKUP("Итого павильоны со смешанным ассортиментом",'Нестационарные торговые объекты'!C11:S61,9,0)</f>
        <v>3</v>
      </c>
      <c r="F19" s="34">
        <f>VLOOKUP("Итого павильоны со смешанным ассортиментом",'Нестационарные торговые объекты'!C11:S61,10,0)</f>
        <v>58</v>
      </c>
      <c r="G19" s="34">
        <f>VLOOKUP("Итого павильоны со смешанным ассортиментом",'Нестационарные торговые объекты'!C11:S61,11,0)</f>
        <v>49</v>
      </c>
      <c r="H19" s="34">
        <f>VLOOKUP("Итого павильоны со смешанным ассортиментом",'Нестационарные торговые объекты'!C11:S61,13,0)</f>
        <v>3</v>
      </c>
      <c r="I19" s="34">
        <f>VLOOKUP("Итого павильоны со смешанным ассортиментом",'Нестационарные торговые объекты'!C11:S61,14,0)</f>
        <v>0</v>
      </c>
      <c r="J19" s="34">
        <f>VLOOKUP("Итого павильоны со смешанным ассортиментом",'Нестационарные торговые объекты'!C11:S61,15,0)</f>
        <v>0</v>
      </c>
      <c r="K19" s="34">
        <f>VLOOKUP("Итого павильоны со смешанным ассортиментом",'Нестационарные торговые объекты'!C11:S61,16,0)</f>
        <v>0</v>
      </c>
      <c r="L19" s="34">
        <f>VLOOKUP("Итого павильоны со смешанным ассортиментом",'Нестационарные торговые объекты'!C11:S61,17,0)</f>
        <v>0</v>
      </c>
    </row>
    <row r="20" spans="1:12" ht="15">
      <c r="A20" s="36" t="s">
        <v>155</v>
      </c>
      <c r="B20" s="36">
        <f>SUM(B17:B19)</f>
        <v>26</v>
      </c>
      <c r="C20" s="36">
        <f aca="true" t="shared" si="2" ref="C20:L20">SUM(C17:C19)</f>
        <v>0</v>
      </c>
      <c r="D20" s="36">
        <f t="shared" si="2"/>
        <v>1</v>
      </c>
      <c r="E20" s="36">
        <f t="shared" si="2"/>
        <v>46</v>
      </c>
      <c r="F20" s="36">
        <f t="shared" si="2"/>
        <v>708.2</v>
      </c>
      <c r="G20" s="36">
        <f t="shared" si="2"/>
        <v>568.1</v>
      </c>
      <c r="H20" s="36">
        <f t="shared" si="2"/>
        <v>26</v>
      </c>
      <c r="I20" s="36">
        <f t="shared" si="2"/>
        <v>0</v>
      </c>
      <c r="J20" s="36">
        <f t="shared" si="2"/>
        <v>0</v>
      </c>
      <c r="K20" s="36">
        <f t="shared" si="2"/>
        <v>0</v>
      </c>
      <c r="L20" s="36">
        <f t="shared" si="2"/>
        <v>0</v>
      </c>
    </row>
    <row r="21" spans="1:12" ht="15">
      <c r="A21" s="34" t="s">
        <v>104</v>
      </c>
      <c r="B21" s="34">
        <f>B20+B16</f>
        <v>32</v>
      </c>
      <c r="C21" s="34">
        <f aca="true" t="shared" si="3" ref="C21:L21">C20+C16</f>
        <v>0</v>
      </c>
      <c r="D21" s="34">
        <f t="shared" si="3"/>
        <v>2</v>
      </c>
      <c r="E21" s="34">
        <f t="shared" si="3"/>
        <v>52</v>
      </c>
      <c r="F21" s="34">
        <f t="shared" si="3"/>
        <v>777.7</v>
      </c>
      <c r="G21" s="34">
        <f t="shared" si="3"/>
        <v>637.6</v>
      </c>
      <c r="H21" s="34">
        <f t="shared" si="3"/>
        <v>32</v>
      </c>
      <c r="I21" s="34">
        <f t="shared" si="3"/>
        <v>0</v>
      </c>
      <c r="J21" s="34">
        <f t="shared" si="3"/>
        <v>0</v>
      </c>
      <c r="K21" s="34">
        <f t="shared" si="3"/>
        <v>0</v>
      </c>
      <c r="L21" s="34">
        <f t="shared" si="3"/>
        <v>0</v>
      </c>
    </row>
    <row r="22" spans="2:6" ht="90">
      <c r="B22" s="35" t="s">
        <v>148</v>
      </c>
      <c r="C22" s="35" t="s">
        <v>149</v>
      </c>
      <c r="D22" s="35" t="s">
        <v>150</v>
      </c>
      <c r="E22" s="35" t="s">
        <v>151</v>
      </c>
      <c r="F22" s="35" t="s">
        <v>152</v>
      </c>
    </row>
    <row r="23" spans="1:6" ht="15">
      <c r="A23" s="34" t="s">
        <v>25</v>
      </c>
      <c r="B23" s="34">
        <f>COUNTIF('Стационарные торговые объекты'!Z12:Z29,"ЖД")</f>
        <v>1</v>
      </c>
      <c r="C23" s="34">
        <f>COUNTIF('Стационарные торговые объекты'!Z12:Z29,"ОСЗ")</f>
        <v>9</v>
      </c>
      <c r="D23" s="34">
        <f>COUNTIF('Стационарные торговые объекты'!Z12:Z29,"ИЗ")</f>
        <v>8</v>
      </c>
      <c r="E23" s="34">
        <f>SUMIF('Стационарные торговые объекты'!M12:M29,"ДА",'Стационарные торговые объекты'!Q12:Q29)</f>
        <v>6</v>
      </c>
      <c r="F23" s="34">
        <f>COUNTIF('Стационарные торговые объекты'!K12:K29,"Л")</f>
        <v>6</v>
      </c>
    </row>
    <row r="24" spans="1:5" ht="15">
      <c r="A24" s="34" t="s">
        <v>26</v>
      </c>
      <c r="B24" s="34">
        <f>COUNTIF('Стационарные торговые объекты'!Z32:Z64,"ЖД")</f>
        <v>2</v>
      </c>
      <c r="C24" s="34">
        <f>COUNTIF('Стационарные торговые объекты'!Z32:Z64,"ОСЗ")</f>
        <v>12</v>
      </c>
      <c r="D24" s="34">
        <f>COUNTIF('Стационарные торговые объекты'!Z32:Z64,"ИЗ")</f>
        <v>18</v>
      </c>
      <c r="E24" s="34">
        <f>SUMIF('Стационарные торговые объекты'!M32:M64,"ДА",'Стационарные торговые объекты'!Q32:Q64)</f>
        <v>0</v>
      </c>
    </row>
    <row r="25" spans="1:6" ht="15">
      <c r="A25" s="34" t="s">
        <v>68</v>
      </c>
      <c r="B25" s="34">
        <f>COUNTIF('Стационарные торговые объекты'!Z103:Z111,"ЖД")</f>
        <v>1</v>
      </c>
      <c r="C25" s="34">
        <f>COUNTIF('Стационарные торговые объекты'!Z103:Z111,"ОСЗ")</f>
        <v>6</v>
      </c>
      <c r="D25" s="34">
        <f>COUNTIF('Стационарные торговые объекты'!Z103:Z111,"ИЗ")</f>
        <v>2</v>
      </c>
      <c r="E25" s="34">
        <f>SUMIF('Стационарные торговые объекты'!M103:M111,"ДА",'Стационарные торговые объекты'!Q103:Q111)</f>
        <v>0</v>
      </c>
      <c r="F25" s="34">
        <f>COUNTIF('Стационарные торговые объекты'!K103:K111,"Л")</f>
        <v>5</v>
      </c>
    </row>
    <row r="26" spans="1:5" ht="15">
      <c r="A26" s="34" t="s">
        <v>28</v>
      </c>
      <c r="B26" s="34">
        <f>COUNTIF('Стационарные торговые объекты'!Z114:Z120,"ЖД")</f>
        <v>0</v>
      </c>
      <c r="C26" s="34">
        <f>COUNTIF('Стационарные торговые объекты'!Z114:Z120,"ОЗ")</f>
        <v>0</v>
      </c>
      <c r="D26" s="34">
        <f>COUNTIF('Стационарные торговые объекты'!Z114:Z120,"ИЗ")</f>
        <v>0</v>
      </c>
      <c r="E26" s="34">
        <f>SUMIF('Стационарные торговые объекты'!M114:M120,"ДА",'Стационарные торговые объекты'!Q114:Q120)</f>
        <v>0</v>
      </c>
    </row>
    <row r="27" spans="1:5" ht="15">
      <c r="A27" s="34" t="s">
        <v>29</v>
      </c>
      <c r="B27" s="34">
        <f>COUNTIF('Стационарные торговые объекты'!Z123:Z124,"ЖД")</f>
        <v>0</v>
      </c>
      <c r="C27" s="34">
        <f>COUNTIF('Стационарные торговые объекты'!Z123:Z124,"ОСЗ")</f>
        <v>0</v>
      </c>
      <c r="D27" s="34">
        <f>COUNTIF('Стационарные торговые объекты'!Z123:Z124,"ИЗ")</f>
        <v>0</v>
      </c>
      <c r="E27" s="34">
        <f>SUMIF('Стационарные торговые объекты'!M123:M124,"ДА",'Стационарные торговые объекты'!Q123:Q124)</f>
        <v>0</v>
      </c>
    </row>
    <row r="28" spans="1:6" ht="15">
      <c r="A28" s="36" t="s">
        <v>57</v>
      </c>
      <c r="B28" s="36">
        <f>SUM(B23:B27)</f>
        <v>4</v>
      </c>
      <c r="C28" s="36">
        <f>SUM(C23:C27)</f>
        <v>27</v>
      </c>
      <c r="D28" s="36">
        <f>SUM(D23:D27)</f>
        <v>28</v>
      </c>
      <c r="E28" s="36">
        <f>SUM(E23:E27)</f>
        <v>6</v>
      </c>
      <c r="F28" s="36">
        <f>SUM(F23:F27)</f>
        <v>11</v>
      </c>
    </row>
  </sheetData>
  <sheetProtection password="CC61" sheet="1" formatCells="0" formatColumns="0" formatRows="0"/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2018-07-24T07:06:04Z</cp:lastPrinted>
  <dcterms:created xsi:type="dcterms:W3CDTF">2006-09-16T00:00:00Z</dcterms:created>
  <dcterms:modified xsi:type="dcterms:W3CDTF">2021-11-17T11:41:39Z</dcterms:modified>
  <cp:category/>
  <cp:version/>
  <cp:contentType/>
  <cp:contentStatus/>
</cp:coreProperties>
</file>